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体检考察人员" sheetId="2" r:id="rId1"/>
  </sheets>
  <definedNames>
    <definedName name="_xlnm.Print_Titles" localSheetId="0">体检考察人员!$1:$2</definedName>
  </definedNames>
  <calcPr calcId="144525"/>
</workbook>
</file>

<file path=xl/sharedStrings.xml><?xml version="1.0" encoding="utf-8"?>
<sst xmlns="http://schemas.openxmlformats.org/spreadsheetml/2006/main" count="9" uniqueCount="9">
  <si>
    <t>2023年宛城区招教--体检考察人员表</t>
  </si>
  <si>
    <t>序号</t>
  </si>
  <si>
    <t>准考证号</t>
  </si>
  <si>
    <t>岗位代码</t>
  </si>
  <si>
    <t>姓名</t>
  </si>
  <si>
    <t>性别</t>
  </si>
  <si>
    <t>总成绩</t>
  </si>
  <si>
    <t>备注</t>
  </si>
  <si>
    <t>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</si>
</sst>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2"/>
  <sheetViews>
    <sheetView tabSelected="1" topLeftCell="A117" workbookViewId="0">
      <selection activeCell="J270" sqref="J270"/>
    </sheetView>
  </sheetViews>
  <sheetFormatPr defaultColWidth="9" defaultRowHeight="13.5"/>
  <cols>
    <col min="1" max="1" width="9" style="2"/>
    <col min="2" max="2" width="15.375" customWidth="1"/>
    <col min="4" max="4" width="15.125" customWidth="1"/>
    <col min="6" max="6" width="12.875" customWidth="1"/>
    <col min="7" max="7" width="9" style="2"/>
  </cols>
  <sheetData>
    <row r="1" s="1" customFormat="1" ht="30" customHeight="1" spans="1:11">
      <c r="A1" s="3" t="s">
        <v>0</v>
      </c>
      <c r="B1" s="3"/>
      <c r="C1" s="3"/>
      <c r="D1" s="3"/>
      <c r="E1" s="3"/>
      <c r="F1" s="3"/>
      <c r="G1" s="3"/>
      <c r="K1" s="7"/>
    </row>
    <row r="2" s="1" customFormat="1" ht="23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K2" s="7"/>
    </row>
    <row r="3" s="1" customFormat="1" ht="23" customHeight="1" spans="1:11">
      <c r="A3" s="4">
        <v>1</v>
      </c>
      <c r="B3" s="4" t="str">
        <f>"10010105215"</f>
        <v>10010105215</v>
      </c>
      <c r="C3" s="4" t="str">
        <f t="shared" ref="C3:C10" si="0">"1001"</f>
        <v>1001</v>
      </c>
      <c r="D3" s="4" t="str">
        <f>"刘秋平"</f>
        <v>刘秋平</v>
      </c>
      <c r="E3" s="4" t="str">
        <f t="shared" ref="E3:E12" si="1">"女"</f>
        <v>女</v>
      </c>
      <c r="F3" s="5">
        <v>79.868</v>
      </c>
      <c r="G3" s="4"/>
      <c r="K3" s="7"/>
    </row>
    <row r="4" s="1" customFormat="1" ht="23" customHeight="1" spans="1:11">
      <c r="A4" s="4">
        <v>2</v>
      </c>
      <c r="B4" s="4" t="str">
        <f>"10010105114"</f>
        <v>10010105114</v>
      </c>
      <c r="C4" s="4" t="str">
        <f t="shared" si="0"/>
        <v>1001</v>
      </c>
      <c r="D4" s="4" t="str">
        <f>"钟姝"</f>
        <v>钟姝</v>
      </c>
      <c r="E4" s="4" t="str">
        <f t="shared" si="1"/>
        <v>女</v>
      </c>
      <c r="F4" s="5">
        <v>79.34</v>
      </c>
      <c r="G4" s="4"/>
      <c r="K4" s="7"/>
    </row>
    <row r="5" s="1" customFormat="1" ht="23" customHeight="1" spans="1:11">
      <c r="A5" s="4">
        <v>3</v>
      </c>
      <c r="B5" s="4" t="str">
        <f>"10010104910"</f>
        <v>10010104910</v>
      </c>
      <c r="C5" s="4" t="str">
        <f t="shared" si="0"/>
        <v>1001</v>
      </c>
      <c r="D5" s="4" t="str">
        <f>"范利君"</f>
        <v>范利君</v>
      </c>
      <c r="E5" s="4" t="str">
        <f t="shared" si="1"/>
        <v>女</v>
      </c>
      <c r="F5" s="5">
        <v>79.06</v>
      </c>
      <c r="G5" s="4"/>
      <c r="K5" s="7"/>
    </row>
    <row r="6" s="1" customFormat="1" ht="23" customHeight="1" spans="1:11">
      <c r="A6" s="4">
        <v>4</v>
      </c>
      <c r="B6" s="4" t="str">
        <f>"10010105219"</f>
        <v>10010105219</v>
      </c>
      <c r="C6" s="4" t="str">
        <f t="shared" si="0"/>
        <v>1001</v>
      </c>
      <c r="D6" s="4" t="str">
        <f>"魏本雪"</f>
        <v>魏本雪</v>
      </c>
      <c r="E6" s="4" t="str">
        <f t="shared" si="1"/>
        <v>女</v>
      </c>
      <c r="F6" s="5">
        <v>78.832</v>
      </c>
      <c r="G6" s="4"/>
      <c r="K6" s="7"/>
    </row>
    <row r="7" s="1" customFormat="1" ht="23" customHeight="1" spans="1:11">
      <c r="A7" s="4">
        <v>5</v>
      </c>
      <c r="B7" s="4" t="str">
        <f>"10010105125"</f>
        <v>10010105125</v>
      </c>
      <c r="C7" s="4" t="str">
        <f t="shared" si="0"/>
        <v>1001</v>
      </c>
      <c r="D7" s="4" t="str">
        <f>"封仁慧"</f>
        <v>封仁慧</v>
      </c>
      <c r="E7" s="4" t="str">
        <f t="shared" si="1"/>
        <v>女</v>
      </c>
      <c r="F7" s="5">
        <v>78.608</v>
      </c>
      <c r="G7" s="4"/>
      <c r="K7" s="7"/>
    </row>
    <row r="8" s="1" customFormat="1" ht="23" customHeight="1" spans="1:11">
      <c r="A8" s="4">
        <v>6</v>
      </c>
      <c r="B8" s="4" t="str">
        <f>"10010104912"</f>
        <v>10010104912</v>
      </c>
      <c r="C8" s="4" t="str">
        <f t="shared" si="0"/>
        <v>1001</v>
      </c>
      <c r="D8" s="4" t="str">
        <f>"张萌萌"</f>
        <v>张萌萌</v>
      </c>
      <c r="E8" s="4" t="str">
        <f t="shared" si="1"/>
        <v>女</v>
      </c>
      <c r="F8" s="5">
        <v>78.572</v>
      </c>
      <c r="G8" s="4"/>
      <c r="K8" s="7"/>
    </row>
    <row r="9" s="1" customFormat="1" ht="23" customHeight="1" spans="1:11">
      <c r="A9" s="4">
        <v>7</v>
      </c>
      <c r="B9" s="4" t="str">
        <f>"10010105313"</f>
        <v>10010105313</v>
      </c>
      <c r="C9" s="4" t="str">
        <f t="shared" si="0"/>
        <v>1001</v>
      </c>
      <c r="D9" s="4" t="str">
        <f>"杨一鸣"</f>
        <v>杨一鸣</v>
      </c>
      <c r="E9" s="4" t="str">
        <f t="shared" si="1"/>
        <v>女</v>
      </c>
      <c r="F9" s="5">
        <v>78.452</v>
      </c>
      <c r="G9" s="4"/>
      <c r="K9" s="7"/>
    </row>
    <row r="10" s="1" customFormat="1" ht="23" customHeight="1" spans="1:11">
      <c r="A10" s="4">
        <v>8</v>
      </c>
      <c r="B10" s="4" t="str">
        <f>"10010105124"</f>
        <v>10010105124</v>
      </c>
      <c r="C10" s="4" t="str">
        <f t="shared" si="0"/>
        <v>1001</v>
      </c>
      <c r="D10" s="4" t="str">
        <f>"吴倩文"</f>
        <v>吴倩文</v>
      </c>
      <c r="E10" s="4" t="str">
        <f t="shared" si="1"/>
        <v>女</v>
      </c>
      <c r="F10" s="5">
        <v>78.436</v>
      </c>
      <c r="G10" s="4"/>
      <c r="K10" s="7"/>
    </row>
    <row r="11" s="1" customFormat="1" ht="23" customHeight="1" spans="1:11">
      <c r="A11" s="4">
        <v>9</v>
      </c>
      <c r="B11" s="4" t="str">
        <f>"10020105927"</f>
        <v>10020105927</v>
      </c>
      <c r="C11" s="4" t="str">
        <f t="shared" ref="C11:C18" si="2">"1002"</f>
        <v>1002</v>
      </c>
      <c r="D11" s="4" t="str">
        <f>"郭萌"</f>
        <v>郭萌</v>
      </c>
      <c r="E11" s="4" t="str">
        <f t="shared" si="1"/>
        <v>女</v>
      </c>
      <c r="F11" s="5">
        <v>79.14</v>
      </c>
      <c r="G11" s="4"/>
      <c r="K11" s="7"/>
    </row>
    <row r="12" s="1" customFormat="1" ht="23" customHeight="1" spans="1:11">
      <c r="A12" s="4">
        <v>10</v>
      </c>
      <c r="B12" s="4" t="str">
        <f>"10020206105"</f>
        <v>10020206105</v>
      </c>
      <c r="C12" s="4" t="str">
        <f t="shared" si="2"/>
        <v>1002</v>
      </c>
      <c r="D12" s="4" t="str">
        <f>"徐瑶"</f>
        <v>徐瑶</v>
      </c>
      <c r="E12" s="4" t="str">
        <f t="shared" si="1"/>
        <v>女</v>
      </c>
      <c r="F12" s="5">
        <v>78.952</v>
      </c>
      <c r="G12" s="4"/>
      <c r="K12" s="7"/>
    </row>
    <row r="13" s="1" customFormat="1" ht="23" customHeight="1" spans="1:11">
      <c r="A13" s="4">
        <v>11</v>
      </c>
      <c r="B13" s="4" t="str">
        <f>"10020105917"</f>
        <v>10020105917</v>
      </c>
      <c r="C13" s="4" t="str">
        <f t="shared" si="2"/>
        <v>1002</v>
      </c>
      <c r="D13" s="4" t="str">
        <f>"王元铎"</f>
        <v>王元铎</v>
      </c>
      <c r="E13" s="4" t="str">
        <f t="shared" ref="E13:E18" si="3">"男"</f>
        <v>男</v>
      </c>
      <c r="F13" s="5">
        <v>78.392</v>
      </c>
      <c r="G13" s="4"/>
      <c r="K13" s="7"/>
    </row>
    <row r="14" s="1" customFormat="1" ht="23" customHeight="1" spans="1:11">
      <c r="A14" s="4">
        <v>12</v>
      </c>
      <c r="B14" s="4" t="str">
        <f>"10020105726"</f>
        <v>10020105726</v>
      </c>
      <c r="C14" s="4" t="str">
        <f t="shared" si="2"/>
        <v>1002</v>
      </c>
      <c r="D14" s="4" t="str">
        <f>"李婉玉"</f>
        <v>李婉玉</v>
      </c>
      <c r="E14" s="4" t="str">
        <f t="shared" ref="E14:E17" si="4">"女"</f>
        <v>女</v>
      </c>
      <c r="F14" s="5">
        <v>76.796</v>
      </c>
      <c r="G14" s="4"/>
      <c r="K14" s="7"/>
    </row>
    <row r="15" s="1" customFormat="1" ht="23" customHeight="1" spans="1:11">
      <c r="A15" s="4">
        <v>13</v>
      </c>
      <c r="B15" s="4" t="str">
        <f>"10020105803"</f>
        <v>10020105803</v>
      </c>
      <c r="C15" s="4" t="str">
        <f t="shared" si="2"/>
        <v>1002</v>
      </c>
      <c r="D15" s="4" t="str">
        <f>"吴金重"</f>
        <v>吴金重</v>
      </c>
      <c r="E15" s="4" t="str">
        <f t="shared" si="3"/>
        <v>男</v>
      </c>
      <c r="F15" s="5">
        <v>76.764</v>
      </c>
      <c r="G15" s="4"/>
      <c r="K15" s="7"/>
    </row>
    <row r="16" s="1" customFormat="1" ht="23" customHeight="1" spans="1:11">
      <c r="A16" s="4">
        <v>14</v>
      </c>
      <c r="B16" s="4" t="str">
        <f>"10020206107"</f>
        <v>10020206107</v>
      </c>
      <c r="C16" s="4" t="str">
        <f t="shared" si="2"/>
        <v>1002</v>
      </c>
      <c r="D16" s="4" t="str">
        <f>"孟帅"</f>
        <v>孟帅</v>
      </c>
      <c r="E16" s="4" t="str">
        <f t="shared" si="4"/>
        <v>女</v>
      </c>
      <c r="F16" s="5">
        <v>76.752</v>
      </c>
      <c r="G16" s="4"/>
      <c r="K16" s="7"/>
    </row>
    <row r="17" s="1" customFormat="1" ht="23" customHeight="1" spans="1:11">
      <c r="A17" s="4">
        <v>15</v>
      </c>
      <c r="B17" s="4" t="str">
        <f>"10020105706"</f>
        <v>10020105706</v>
      </c>
      <c r="C17" s="4" t="str">
        <f t="shared" si="2"/>
        <v>1002</v>
      </c>
      <c r="D17" s="4" t="str">
        <f>"皇甫丽荣"</f>
        <v>皇甫丽荣</v>
      </c>
      <c r="E17" s="4" t="str">
        <f t="shared" si="4"/>
        <v>女</v>
      </c>
      <c r="F17" s="5">
        <v>76.48</v>
      </c>
      <c r="G17" s="4"/>
      <c r="K17" s="7"/>
    </row>
    <row r="18" s="1" customFormat="1" ht="23" customHeight="1" spans="1:11">
      <c r="A18" s="4">
        <v>16</v>
      </c>
      <c r="B18" s="4" t="str">
        <f>"10020105616"</f>
        <v>10020105616</v>
      </c>
      <c r="C18" s="4" t="str">
        <f t="shared" si="2"/>
        <v>1002</v>
      </c>
      <c r="D18" s="4" t="str">
        <f>"赵建钢"</f>
        <v>赵建钢</v>
      </c>
      <c r="E18" s="4" t="str">
        <f t="shared" si="3"/>
        <v>男</v>
      </c>
      <c r="F18" s="5">
        <v>76.384</v>
      </c>
      <c r="G18" s="4"/>
      <c r="K18" s="7"/>
    </row>
    <row r="19" s="1" customFormat="1" ht="23" customHeight="1" spans="1:11">
      <c r="A19" s="4">
        <v>17</v>
      </c>
      <c r="B19" s="4" t="str">
        <f>"10030206816"</f>
        <v>10030206816</v>
      </c>
      <c r="C19" s="4" t="str">
        <f t="shared" ref="C19:C24" si="5">"1003"</f>
        <v>1003</v>
      </c>
      <c r="D19" s="4" t="str">
        <f>"李静怡"</f>
        <v>李静怡</v>
      </c>
      <c r="E19" s="4" t="str">
        <f t="shared" ref="E19:E24" si="6">"女"</f>
        <v>女</v>
      </c>
      <c r="F19" s="5">
        <v>80.576</v>
      </c>
      <c r="G19" s="4"/>
      <c r="K19" s="7"/>
    </row>
    <row r="20" s="1" customFormat="1" ht="23" customHeight="1" spans="1:11">
      <c r="A20" s="4">
        <v>18</v>
      </c>
      <c r="B20" s="4" t="str">
        <f>"10030206525"</f>
        <v>10030206525</v>
      </c>
      <c r="C20" s="4" t="str">
        <f t="shared" si="5"/>
        <v>1003</v>
      </c>
      <c r="D20" s="4" t="str">
        <f>"刘玲君"</f>
        <v>刘玲君</v>
      </c>
      <c r="E20" s="4" t="str">
        <f t="shared" si="6"/>
        <v>女</v>
      </c>
      <c r="F20" s="5">
        <v>79.484</v>
      </c>
      <c r="G20" s="4"/>
      <c r="K20" s="7"/>
    </row>
    <row r="21" s="1" customFormat="1" ht="23" customHeight="1" spans="1:11">
      <c r="A21" s="4">
        <v>19</v>
      </c>
      <c r="B21" s="4" t="str">
        <f>"10030206629"</f>
        <v>10030206629</v>
      </c>
      <c r="C21" s="4" t="str">
        <f t="shared" si="5"/>
        <v>1003</v>
      </c>
      <c r="D21" s="4" t="str">
        <f>"邢亚欣"</f>
        <v>邢亚欣</v>
      </c>
      <c r="E21" s="4" t="str">
        <f t="shared" si="6"/>
        <v>女</v>
      </c>
      <c r="F21" s="5">
        <v>79.376</v>
      </c>
      <c r="G21" s="4"/>
      <c r="K21" s="7"/>
    </row>
    <row r="22" s="1" customFormat="1" ht="23" customHeight="1" spans="1:11">
      <c r="A22" s="4">
        <v>20</v>
      </c>
      <c r="B22" s="4" t="str">
        <f>"10030206511"</f>
        <v>10030206511</v>
      </c>
      <c r="C22" s="4" t="str">
        <f t="shared" si="5"/>
        <v>1003</v>
      </c>
      <c r="D22" s="4" t="str">
        <f>"丁洛羽"</f>
        <v>丁洛羽</v>
      </c>
      <c r="E22" s="4" t="str">
        <f t="shared" si="6"/>
        <v>女</v>
      </c>
      <c r="F22" s="5">
        <v>79.136</v>
      </c>
      <c r="G22" s="4"/>
      <c r="K22" s="7"/>
    </row>
    <row r="23" s="1" customFormat="1" ht="23" customHeight="1" spans="1:11">
      <c r="A23" s="4">
        <v>21</v>
      </c>
      <c r="B23" s="4" t="str">
        <f>"10030206615"</f>
        <v>10030206615</v>
      </c>
      <c r="C23" s="4" t="str">
        <f t="shared" si="5"/>
        <v>1003</v>
      </c>
      <c r="D23" s="4" t="str">
        <f>"周蕾"</f>
        <v>周蕾</v>
      </c>
      <c r="E23" s="4" t="str">
        <f t="shared" si="6"/>
        <v>女</v>
      </c>
      <c r="F23" s="5">
        <v>77.772</v>
      </c>
      <c r="G23" s="4"/>
      <c r="K23" s="7"/>
    </row>
    <row r="24" s="1" customFormat="1" ht="23" customHeight="1" spans="1:11">
      <c r="A24" s="4">
        <v>22</v>
      </c>
      <c r="B24" s="4" t="str">
        <f>"10030206214"</f>
        <v>10030206214</v>
      </c>
      <c r="C24" s="4" t="str">
        <f t="shared" si="5"/>
        <v>1003</v>
      </c>
      <c r="D24" s="4" t="str">
        <f>"毕曼玉"</f>
        <v>毕曼玉</v>
      </c>
      <c r="E24" s="4" t="str">
        <f t="shared" si="6"/>
        <v>女</v>
      </c>
      <c r="F24" s="5">
        <v>77.472</v>
      </c>
      <c r="G24" s="4"/>
      <c r="K24" s="7"/>
    </row>
    <row r="25" s="1" customFormat="1" ht="23" customHeight="1" spans="1:11">
      <c r="A25" s="4">
        <v>23</v>
      </c>
      <c r="B25" s="4" t="str">
        <f>"10040206923"</f>
        <v>10040206923</v>
      </c>
      <c r="C25" s="4" t="str">
        <f t="shared" ref="C25:C29" si="7">"1004"</f>
        <v>1004</v>
      </c>
      <c r="D25" s="4" t="str">
        <f>"刘洋"</f>
        <v>刘洋</v>
      </c>
      <c r="E25" s="4" t="str">
        <f t="shared" ref="E25:E28" si="8">"男"</f>
        <v>男</v>
      </c>
      <c r="F25" s="5">
        <v>79.244</v>
      </c>
      <c r="G25" s="4"/>
      <c r="K25" s="7"/>
    </row>
    <row r="26" s="1" customFormat="1" ht="23" customHeight="1" spans="1:11">
      <c r="A26" s="4">
        <v>24</v>
      </c>
      <c r="B26" s="4" t="str">
        <f>"10040206909"</f>
        <v>10040206909</v>
      </c>
      <c r="C26" s="4" t="str">
        <f t="shared" si="7"/>
        <v>1004</v>
      </c>
      <c r="D26" s="4" t="str">
        <f>"王科森"</f>
        <v>王科森</v>
      </c>
      <c r="E26" s="4" t="str">
        <f t="shared" si="8"/>
        <v>男</v>
      </c>
      <c r="F26" s="5">
        <v>77.436</v>
      </c>
      <c r="G26" s="4"/>
      <c r="K26" s="7"/>
    </row>
    <row r="27" s="1" customFormat="1" ht="23" customHeight="1" spans="1:11">
      <c r="A27" s="4">
        <v>25</v>
      </c>
      <c r="B27" s="4" t="str">
        <f>"10040206929"</f>
        <v>10040206929</v>
      </c>
      <c r="C27" s="4" t="str">
        <f t="shared" si="7"/>
        <v>1004</v>
      </c>
      <c r="D27" s="4" t="str">
        <f>"李颖"</f>
        <v>李颖</v>
      </c>
      <c r="E27" s="4" t="str">
        <f t="shared" ref="E27:E30" si="9">"女"</f>
        <v>女</v>
      </c>
      <c r="F27" s="5">
        <v>76.56</v>
      </c>
      <c r="G27" s="4"/>
      <c r="K27" s="7"/>
    </row>
    <row r="28" s="1" customFormat="1" ht="23" customHeight="1" spans="1:11">
      <c r="A28" s="4">
        <v>26</v>
      </c>
      <c r="B28" s="4" t="str">
        <f>"10040206927"</f>
        <v>10040206927</v>
      </c>
      <c r="C28" s="4" t="str">
        <f t="shared" si="7"/>
        <v>1004</v>
      </c>
      <c r="D28" s="4" t="str">
        <f>"张泽林"</f>
        <v>张泽林</v>
      </c>
      <c r="E28" s="4" t="str">
        <f t="shared" si="8"/>
        <v>男</v>
      </c>
      <c r="F28" s="5">
        <v>76.52</v>
      </c>
      <c r="G28" s="4"/>
      <c r="K28" s="7"/>
    </row>
    <row r="29" s="1" customFormat="1" ht="23" customHeight="1" spans="1:11">
      <c r="A29" s="4">
        <v>27</v>
      </c>
      <c r="B29" s="4" t="str">
        <f>"10040207001"</f>
        <v>10040207001</v>
      </c>
      <c r="C29" s="4" t="str">
        <f t="shared" si="7"/>
        <v>1004</v>
      </c>
      <c r="D29" s="4" t="str">
        <f>"武淼"</f>
        <v>武淼</v>
      </c>
      <c r="E29" s="4" t="str">
        <f t="shared" si="9"/>
        <v>女</v>
      </c>
      <c r="F29" s="5">
        <v>76.268</v>
      </c>
      <c r="G29" s="4"/>
      <c r="K29" s="7"/>
    </row>
    <row r="30" s="1" customFormat="1" ht="23" customHeight="1" spans="1:11">
      <c r="A30" s="4">
        <v>28</v>
      </c>
      <c r="B30" s="4" t="str">
        <f>"10050207211"</f>
        <v>10050207211</v>
      </c>
      <c r="C30" s="4" t="str">
        <f t="shared" ref="C30:C33" si="10">"1005"</f>
        <v>1005</v>
      </c>
      <c r="D30" s="4" t="str">
        <f>"程英笛"</f>
        <v>程英笛</v>
      </c>
      <c r="E30" s="4" t="str">
        <f t="shared" si="9"/>
        <v>女</v>
      </c>
      <c r="F30" s="5">
        <v>77.5</v>
      </c>
      <c r="G30" s="4"/>
      <c r="K30" s="7"/>
    </row>
    <row r="31" s="1" customFormat="1" ht="23" customHeight="1" spans="1:11">
      <c r="A31" s="4">
        <v>29</v>
      </c>
      <c r="B31" s="4" t="str">
        <f>"10050207104"</f>
        <v>10050207104</v>
      </c>
      <c r="C31" s="4" t="str">
        <f t="shared" si="10"/>
        <v>1005</v>
      </c>
      <c r="D31" s="4" t="str">
        <f>"张嘉乐"</f>
        <v>张嘉乐</v>
      </c>
      <c r="E31" s="4" t="str">
        <f>"男"</f>
        <v>男</v>
      </c>
      <c r="F31" s="5">
        <v>77.168</v>
      </c>
      <c r="G31" s="4"/>
      <c r="K31" s="7"/>
    </row>
    <row r="32" s="1" customFormat="1" ht="23" customHeight="1" spans="1:11">
      <c r="A32" s="4">
        <v>30</v>
      </c>
      <c r="B32" s="4" t="str">
        <f>"10050207218"</f>
        <v>10050207218</v>
      </c>
      <c r="C32" s="4" t="str">
        <f t="shared" si="10"/>
        <v>1005</v>
      </c>
      <c r="D32" s="4" t="str">
        <f>"张紫涵"</f>
        <v>张紫涵</v>
      </c>
      <c r="E32" s="4" t="str">
        <f t="shared" ref="E32:E39" si="11">"女"</f>
        <v>女</v>
      </c>
      <c r="F32" s="5">
        <v>76.968</v>
      </c>
      <c r="G32" s="4"/>
      <c r="K32" s="7"/>
    </row>
    <row r="33" s="1" customFormat="1" ht="23" customHeight="1" spans="1:12">
      <c r="A33" s="4">
        <v>31</v>
      </c>
      <c r="B33" s="4" t="str">
        <f>"10050207103"</f>
        <v>10050207103</v>
      </c>
      <c r="C33" s="4" t="str">
        <f t="shared" si="10"/>
        <v>1005</v>
      </c>
      <c r="D33" s="4" t="str">
        <f>"丁小静"</f>
        <v>丁小静</v>
      </c>
      <c r="E33" s="4" t="str">
        <f t="shared" si="11"/>
        <v>女</v>
      </c>
      <c r="F33" s="5">
        <v>76.856</v>
      </c>
      <c r="G33" s="4"/>
      <c r="H33"/>
      <c r="L33" s="7"/>
    </row>
    <row r="34" s="1" customFormat="1" ht="23" customHeight="1" spans="1:11">
      <c r="A34" s="4">
        <v>32</v>
      </c>
      <c r="B34" s="4" t="str">
        <f>"10060207314"</f>
        <v>10060207314</v>
      </c>
      <c r="C34" s="4" t="str">
        <f t="shared" ref="C34:C37" si="12">"1006"</f>
        <v>1006</v>
      </c>
      <c r="D34" s="4" t="str">
        <f>"于静波"</f>
        <v>于静波</v>
      </c>
      <c r="E34" s="4" t="str">
        <f t="shared" si="11"/>
        <v>女</v>
      </c>
      <c r="F34" s="5">
        <v>79.332</v>
      </c>
      <c r="G34" s="4"/>
      <c r="K34" s="7"/>
    </row>
    <row r="35" s="1" customFormat="1" ht="23" customHeight="1" spans="1:11">
      <c r="A35" s="4">
        <v>33</v>
      </c>
      <c r="B35" s="4" t="str">
        <f>"10060207309"</f>
        <v>10060207309</v>
      </c>
      <c r="C35" s="4" t="str">
        <f t="shared" si="12"/>
        <v>1006</v>
      </c>
      <c r="D35" s="4" t="str">
        <f>"刘碟"</f>
        <v>刘碟</v>
      </c>
      <c r="E35" s="4" t="str">
        <f t="shared" si="11"/>
        <v>女</v>
      </c>
      <c r="F35" s="5">
        <v>79.072</v>
      </c>
      <c r="G35" s="4"/>
      <c r="K35" s="7"/>
    </row>
    <row r="36" s="1" customFormat="1" ht="23" customHeight="1" spans="1:11">
      <c r="A36" s="4">
        <v>34</v>
      </c>
      <c r="B36" s="4" t="str">
        <f>"10060207401"</f>
        <v>10060207401</v>
      </c>
      <c r="C36" s="4" t="str">
        <f t="shared" si="12"/>
        <v>1006</v>
      </c>
      <c r="D36" s="4" t="str">
        <f>"高昂"</f>
        <v>高昂</v>
      </c>
      <c r="E36" s="4" t="str">
        <f t="shared" si="11"/>
        <v>女</v>
      </c>
      <c r="F36" s="5">
        <v>77.312</v>
      </c>
      <c r="G36" s="4"/>
      <c r="K36" s="7"/>
    </row>
    <row r="37" s="1" customFormat="1" ht="23" customHeight="1" spans="1:11">
      <c r="A37" s="4">
        <v>35</v>
      </c>
      <c r="B37" s="4" t="str">
        <f>"10060207410"</f>
        <v>10060207410</v>
      </c>
      <c r="C37" s="4" t="str">
        <f t="shared" si="12"/>
        <v>1006</v>
      </c>
      <c r="D37" s="4" t="str">
        <f>"胡婷婷"</f>
        <v>胡婷婷</v>
      </c>
      <c r="E37" s="4" t="str">
        <f t="shared" si="11"/>
        <v>女</v>
      </c>
      <c r="F37" s="5">
        <v>77.104</v>
      </c>
      <c r="G37" s="4"/>
      <c r="K37" s="7"/>
    </row>
    <row r="38" s="1" customFormat="1" ht="23" customHeight="1" spans="1:11">
      <c r="A38" s="4">
        <v>36</v>
      </c>
      <c r="B38" s="4" t="str">
        <f>"10070207718"</f>
        <v>10070207718</v>
      </c>
      <c r="C38" s="4" t="str">
        <f t="shared" ref="C38:C41" si="13">"1007"</f>
        <v>1007</v>
      </c>
      <c r="D38" s="4" t="str">
        <f>"祖郭林"</f>
        <v>祖郭林</v>
      </c>
      <c r="E38" s="4" t="str">
        <f t="shared" si="11"/>
        <v>女</v>
      </c>
      <c r="F38" s="5">
        <v>79.048</v>
      </c>
      <c r="G38" s="4"/>
      <c r="K38" s="7"/>
    </row>
    <row r="39" s="1" customFormat="1" ht="23" customHeight="1" spans="1:11">
      <c r="A39" s="4">
        <v>37</v>
      </c>
      <c r="B39" s="4" t="str">
        <f>"10070207525"</f>
        <v>10070207525</v>
      </c>
      <c r="C39" s="4" t="str">
        <f t="shared" si="13"/>
        <v>1007</v>
      </c>
      <c r="D39" s="4" t="str">
        <f>"王佩佩"</f>
        <v>王佩佩</v>
      </c>
      <c r="E39" s="4" t="str">
        <f t="shared" si="11"/>
        <v>女</v>
      </c>
      <c r="F39" s="5">
        <v>78.56</v>
      </c>
      <c r="G39" s="4"/>
      <c r="K39" s="7"/>
    </row>
    <row r="40" s="1" customFormat="1" ht="23" customHeight="1" spans="1:11">
      <c r="A40" s="4">
        <v>38</v>
      </c>
      <c r="B40" s="4" t="str">
        <f>"10070207717"</f>
        <v>10070207717</v>
      </c>
      <c r="C40" s="4" t="str">
        <f t="shared" si="13"/>
        <v>1007</v>
      </c>
      <c r="D40" s="4" t="str">
        <f>"宗豹"</f>
        <v>宗豹</v>
      </c>
      <c r="E40" s="4" t="str">
        <f>"男"</f>
        <v>男</v>
      </c>
      <c r="F40" s="5">
        <v>78.472</v>
      </c>
      <c r="G40" s="4"/>
      <c r="K40" s="7"/>
    </row>
    <row r="41" s="1" customFormat="1" ht="23" customHeight="1" spans="1:11">
      <c r="A41" s="4">
        <v>39</v>
      </c>
      <c r="B41" s="4" t="str">
        <f>"10070207712"</f>
        <v>10070207712</v>
      </c>
      <c r="C41" s="4" t="str">
        <f t="shared" si="13"/>
        <v>1007</v>
      </c>
      <c r="D41" s="4" t="str">
        <f>"王嘉琪"</f>
        <v>王嘉琪</v>
      </c>
      <c r="E41" s="4" t="str">
        <f t="shared" ref="E41:E47" si="14">"女"</f>
        <v>女</v>
      </c>
      <c r="F41" s="5">
        <v>77.792</v>
      </c>
      <c r="G41" s="4"/>
      <c r="K41" s="7"/>
    </row>
    <row r="42" s="1" customFormat="1" ht="23" customHeight="1" spans="1:11">
      <c r="A42" s="4">
        <v>40</v>
      </c>
      <c r="B42" s="4" t="str">
        <f>"10080207922"</f>
        <v>10080207922</v>
      </c>
      <c r="C42" s="4" t="str">
        <f t="shared" ref="C42:C45" si="15">"1008"</f>
        <v>1008</v>
      </c>
      <c r="D42" s="4" t="str">
        <f>"孙俊迪"</f>
        <v>孙俊迪</v>
      </c>
      <c r="E42" s="4" t="str">
        <f t="shared" si="14"/>
        <v>女</v>
      </c>
      <c r="F42" s="5">
        <v>78.108</v>
      </c>
      <c r="G42" s="4"/>
      <c r="K42" s="7"/>
    </row>
    <row r="43" s="1" customFormat="1" ht="23" customHeight="1" spans="1:11">
      <c r="A43" s="4">
        <v>41</v>
      </c>
      <c r="B43" s="4" t="str">
        <f>"10080208002"</f>
        <v>10080208002</v>
      </c>
      <c r="C43" s="4" t="str">
        <f t="shared" si="15"/>
        <v>1008</v>
      </c>
      <c r="D43" s="4" t="str">
        <f>"高静雯"</f>
        <v>高静雯</v>
      </c>
      <c r="E43" s="4" t="str">
        <f t="shared" si="14"/>
        <v>女</v>
      </c>
      <c r="F43" s="5">
        <v>76.88</v>
      </c>
      <c r="G43" s="4"/>
      <c r="K43" s="7"/>
    </row>
    <row r="44" s="1" customFormat="1" ht="23" customHeight="1" spans="1:11">
      <c r="A44" s="4">
        <v>42</v>
      </c>
      <c r="B44" s="4" t="str">
        <f>"10080207812"</f>
        <v>10080207812</v>
      </c>
      <c r="C44" s="4" t="str">
        <f t="shared" si="15"/>
        <v>1008</v>
      </c>
      <c r="D44" s="4" t="str">
        <f>"王利华"</f>
        <v>王利华</v>
      </c>
      <c r="E44" s="4" t="str">
        <f t="shared" si="14"/>
        <v>女</v>
      </c>
      <c r="F44" s="5">
        <v>76.668</v>
      </c>
      <c r="G44" s="4"/>
      <c r="K44" s="7"/>
    </row>
    <row r="45" s="1" customFormat="1" ht="23" customHeight="1" spans="1:11">
      <c r="A45" s="4">
        <v>43</v>
      </c>
      <c r="B45" s="4" t="str">
        <f>"10080208007"</f>
        <v>10080208007</v>
      </c>
      <c r="C45" s="4" t="str">
        <f t="shared" si="15"/>
        <v>1008</v>
      </c>
      <c r="D45" s="4" t="str">
        <f>"葛明镜"</f>
        <v>葛明镜</v>
      </c>
      <c r="E45" s="4" t="str">
        <f t="shared" si="14"/>
        <v>女</v>
      </c>
      <c r="F45" s="5">
        <v>76.46</v>
      </c>
      <c r="G45" s="4"/>
      <c r="K45" s="7"/>
    </row>
    <row r="46" s="1" customFormat="1" ht="23" customHeight="1" spans="1:11">
      <c r="A46" s="4">
        <v>44</v>
      </c>
      <c r="B46" s="4" t="str">
        <f>"10090208014"</f>
        <v>10090208014</v>
      </c>
      <c r="C46" s="4" t="str">
        <f t="shared" ref="C46:C49" si="16">"1009"</f>
        <v>1009</v>
      </c>
      <c r="D46" s="4" t="str">
        <f>"王慧慧"</f>
        <v>王慧慧</v>
      </c>
      <c r="E46" s="4" t="str">
        <f t="shared" si="14"/>
        <v>女</v>
      </c>
      <c r="F46" s="5">
        <v>75.948</v>
      </c>
      <c r="G46" s="4"/>
      <c r="K46" s="7"/>
    </row>
    <row r="47" s="1" customFormat="1" ht="23" customHeight="1" spans="1:11">
      <c r="A47" s="4">
        <v>45</v>
      </c>
      <c r="B47" s="4" t="str">
        <f>"10090208114"</f>
        <v>10090208114</v>
      </c>
      <c r="C47" s="4" t="str">
        <f t="shared" si="16"/>
        <v>1009</v>
      </c>
      <c r="D47" s="4" t="str">
        <f>"张淑芳"</f>
        <v>张淑芳</v>
      </c>
      <c r="E47" s="4" t="str">
        <f t="shared" si="14"/>
        <v>女</v>
      </c>
      <c r="F47" s="5">
        <v>75.216</v>
      </c>
      <c r="G47" s="4"/>
      <c r="K47" s="7"/>
    </row>
    <row r="48" s="1" customFormat="1" ht="23" customHeight="1" spans="1:11">
      <c r="A48" s="4">
        <v>46</v>
      </c>
      <c r="B48" s="4" t="str">
        <f>"10090208119"</f>
        <v>10090208119</v>
      </c>
      <c r="C48" s="4" t="str">
        <f t="shared" si="16"/>
        <v>1009</v>
      </c>
      <c r="D48" s="4" t="str">
        <f>"王文正"</f>
        <v>王文正</v>
      </c>
      <c r="E48" s="4" t="str">
        <f t="shared" ref="E48:E51" si="17">"男"</f>
        <v>男</v>
      </c>
      <c r="F48" s="5">
        <v>74.988</v>
      </c>
      <c r="G48" s="4"/>
      <c r="K48" s="7"/>
    </row>
    <row r="49" s="1" customFormat="1" ht="23" customHeight="1" spans="1:11">
      <c r="A49" s="4">
        <v>47</v>
      </c>
      <c r="B49" s="4" t="str">
        <f>"10090208010"</f>
        <v>10090208010</v>
      </c>
      <c r="C49" s="4" t="str">
        <f t="shared" si="16"/>
        <v>1009</v>
      </c>
      <c r="D49" s="4" t="str">
        <f>"王鹏"</f>
        <v>王鹏</v>
      </c>
      <c r="E49" s="4" t="str">
        <f t="shared" si="17"/>
        <v>男</v>
      </c>
      <c r="F49" s="5">
        <v>74.872</v>
      </c>
      <c r="G49" s="4"/>
      <c r="K49" s="7"/>
    </row>
    <row r="50" s="1" customFormat="1" ht="23" customHeight="1" spans="1:11">
      <c r="A50" s="4">
        <v>48</v>
      </c>
      <c r="B50" s="4" t="str">
        <f>"10100208212"</f>
        <v>10100208212</v>
      </c>
      <c r="C50" s="4" t="str">
        <f t="shared" ref="C50:C52" si="18">"1010"</f>
        <v>1010</v>
      </c>
      <c r="D50" s="4" t="str">
        <f>"李辉"</f>
        <v>李辉</v>
      </c>
      <c r="E50" s="4" t="str">
        <f t="shared" si="17"/>
        <v>男</v>
      </c>
      <c r="F50" s="5">
        <v>77.212</v>
      </c>
      <c r="G50" s="4"/>
      <c r="K50" s="7"/>
    </row>
    <row r="51" s="1" customFormat="1" ht="23" customHeight="1" spans="1:11">
      <c r="A51" s="4">
        <v>49</v>
      </c>
      <c r="B51" s="4" t="str">
        <f>"10100208322"</f>
        <v>10100208322</v>
      </c>
      <c r="C51" s="4" t="str">
        <f t="shared" si="18"/>
        <v>1010</v>
      </c>
      <c r="D51" s="4" t="str">
        <f>"杨帅方"</f>
        <v>杨帅方</v>
      </c>
      <c r="E51" s="4" t="str">
        <f t="shared" si="17"/>
        <v>男</v>
      </c>
      <c r="F51" s="5">
        <v>75.548</v>
      </c>
      <c r="G51" s="4"/>
      <c r="K51" s="7"/>
    </row>
    <row r="52" s="1" customFormat="1" ht="23" customHeight="1" spans="1:11">
      <c r="A52" s="4">
        <v>50</v>
      </c>
      <c r="B52" s="4" t="str">
        <f>"10100208204"</f>
        <v>10100208204</v>
      </c>
      <c r="C52" s="4" t="str">
        <f t="shared" si="18"/>
        <v>1010</v>
      </c>
      <c r="D52" s="4" t="str">
        <f>"王思齐"</f>
        <v>王思齐</v>
      </c>
      <c r="E52" s="4" t="str">
        <f t="shared" ref="E52:E56" si="19">"女"</f>
        <v>女</v>
      </c>
      <c r="F52" s="5">
        <v>75.468</v>
      </c>
      <c r="G52" s="4"/>
      <c r="K52" s="7"/>
    </row>
    <row r="53" s="1" customFormat="1" ht="23" customHeight="1" spans="1:11">
      <c r="A53" s="4">
        <v>51</v>
      </c>
      <c r="B53" s="4" t="str">
        <f>"10110208413"</f>
        <v>10110208413</v>
      </c>
      <c r="C53" s="4" t="str">
        <f>"1011"</f>
        <v>1011</v>
      </c>
      <c r="D53" s="4" t="str">
        <f>"薛媛"</f>
        <v>薛媛</v>
      </c>
      <c r="E53" s="4" t="str">
        <f t="shared" si="19"/>
        <v>女</v>
      </c>
      <c r="F53" s="5">
        <v>76.956</v>
      </c>
      <c r="G53" s="4"/>
      <c r="K53" s="7"/>
    </row>
    <row r="54" s="1" customFormat="1" ht="23" customHeight="1" spans="1:11">
      <c r="A54" s="4">
        <v>52</v>
      </c>
      <c r="B54" s="4" t="str">
        <f>"10110208416"</f>
        <v>10110208416</v>
      </c>
      <c r="C54" s="4" t="str">
        <f>"1011"</f>
        <v>1011</v>
      </c>
      <c r="D54" s="4" t="str">
        <f>"吴双"</f>
        <v>吴双</v>
      </c>
      <c r="E54" s="4" t="str">
        <f>"男"</f>
        <v>男</v>
      </c>
      <c r="F54" s="5">
        <v>76.464</v>
      </c>
      <c r="G54" s="4"/>
      <c r="K54" s="7"/>
    </row>
    <row r="55" s="1" customFormat="1" ht="23" customHeight="1" spans="1:11">
      <c r="A55" s="4">
        <v>53</v>
      </c>
      <c r="B55" s="4" t="str">
        <f>"10120208913"</f>
        <v>10120208913</v>
      </c>
      <c r="C55" s="4" t="str">
        <f>"1012"</f>
        <v>1012</v>
      </c>
      <c r="D55" s="4" t="str">
        <f>"张晓菊"</f>
        <v>张晓菊</v>
      </c>
      <c r="E55" s="4" t="str">
        <f t="shared" si="19"/>
        <v>女</v>
      </c>
      <c r="F55" s="5">
        <v>77.828</v>
      </c>
      <c r="G55" s="4"/>
      <c r="K55" s="7"/>
    </row>
    <row r="56" s="1" customFormat="1" ht="23" customHeight="1" spans="1:11">
      <c r="A56" s="4">
        <v>54</v>
      </c>
      <c r="B56" s="4" t="str">
        <f>"10120208725"</f>
        <v>10120208725</v>
      </c>
      <c r="C56" s="4" t="str">
        <f>"1012"</f>
        <v>1012</v>
      </c>
      <c r="D56" s="4" t="str">
        <f>"谷贺莲"</f>
        <v>谷贺莲</v>
      </c>
      <c r="E56" s="4" t="str">
        <f t="shared" si="19"/>
        <v>女</v>
      </c>
      <c r="F56" s="5">
        <v>77.444</v>
      </c>
      <c r="G56" s="4"/>
      <c r="K56" s="7"/>
    </row>
    <row r="57" s="1" customFormat="1" ht="23" customHeight="1" spans="1:11">
      <c r="A57" s="4">
        <v>55</v>
      </c>
      <c r="B57" s="4" t="str">
        <f>"10130209206"</f>
        <v>10130209206</v>
      </c>
      <c r="C57" s="4" t="str">
        <f t="shared" ref="C57:C59" si="20">"1013"</f>
        <v>1013</v>
      </c>
      <c r="D57" s="4" t="str">
        <f>"张进"</f>
        <v>张进</v>
      </c>
      <c r="E57" s="4" t="str">
        <f>"男"</f>
        <v>男</v>
      </c>
      <c r="F57" s="5">
        <v>79.768</v>
      </c>
      <c r="G57" s="4"/>
      <c r="K57" s="7"/>
    </row>
    <row r="58" s="1" customFormat="1" ht="23" customHeight="1" spans="1:11">
      <c r="A58" s="4">
        <v>56</v>
      </c>
      <c r="B58" s="4" t="str">
        <f>"10130209108"</f>
        <v>10130209108</v>
      </c>
      <c r="C58" s="4" t="str">
        <f t="shared" si="20"/>
        <v>1013</v>
      </c>
      <c r="D58" s="4" t="str">
        <f>"张夏一"</f>
        <v>张夏一</v>
      </c>
      <c r="E58" s="4" t="str">
        <f t="shared" ref="E58:E70" si="21">"女"</f>
        <v>女</v>
      </c>
      <c r="F58" s="5">
        <v>79.68</v>
      </c>
      <c r="G58" s="4"/>
      <c r="K58" s="7"/>
    </row>
    <row r="59" s="1" customFormat="1" ht="23" customHeight="1" spans="1:11">
      <c r="A59" s="4">
        <v>57</v>
      </c>
      <c r="B59" s="4" t="str">
        <f>"10130209303"</f>
        <v>10130209303</v>
      </c>
      <c r="C59" s="4" t="str">
        <f t="shared" si="20"/>
        <v>1013</v>
      </c>
      <c r="D59" s="4" t="str">
        <f>"方馨悦"</f>
        <v>方馨悦</v>
      </c>
      <c r="E59" s="4" t="str">
        <f t="shared" si="21"/>
        <v>女</v>
      </c>
      <c r="F59" s="5">
        <v>78.68</v>
      </c>
      <c r="G59" s="4"/>
      <c r="K59" s="7"/>
    </row>
    <row r="60" s="1" customFormat="1" ht="23" customHeight="1" spans="1:11">
      <c r="A60" s="4">
        <v>58</v>
      </c>
      <c r="B60" s="4" t="str">
        <f>"10140209621"</f>
        <v>10140209621</v>
      </c>
      <c r="C60" s="4" t="str">
        <f t="shared" ref="C60:C62" si="22">"1014"</f>
        <v>1014</v>
      </c>
      <c r="D60" s="4" t="str">
        <f>"左馨"</f>
        <v>左馨</v>
      </c>
      <c r="E60" s="4" t="str">
        <f t="shared" si="21"/>
        <v>女</v>
      </c>
      <c r="F60" s="5">
        <v>79.944</v>
      </c>
      <c r="G60" s="4"/>
      <c r="K60" s="7"/>
    </row>
    <row r="61" s="1" customFormat="1" ht="23" customHeight="1" spans="1:11">
      <c r="A61" s="4">
        <v>59</v>
      </c>
      <c r="B61" s="4" t="str">
        <f>"10140209430"</f>
        <v>10140209430</v>
      </c>
      <c r="C61" s="4" t="str">
        <f t="shared" si="22"/>
        <v>1014</v>
      </c>
      <c r="D61" s="4" t="str">
        <f>"曾清源"</f>
        <v>曾清源</v>
      </c>
      <c r="E61" s="4" t="str">
        <f t="shared" si="21"/>
        <v>女</v>
      </c>
      <c r="F61" s="5">
        <v>78.54</v>
      </c>
      <c r="G61" s="4"/>
      <c r="K61" s="7"/>
    </row>
    <row r="62" s="1" customFormat="1" ht="23" customHeight="1" spans="1:11">
      <c r="A62" s="4">
        <v>60</v>
      </c>
      <c r="B62" s="4" t="str">
        <f>"10140209612"</f>
        <v>10140209612</v>
      </c>
      <c r="C62" s="4" t="str">
        <f t="shared" si="22"/>
        <v>1014</v>
      </c>
      <c r="D62" s="4" t="str">
        <f>"姬玉洁"</f>
        <v>姬玉洁</v>
      </c>
      <c r="E62" s="4" t="str">
        <f t="shared" si="21"/>
        <v>女</v>
      </c>
      <c r="F62" s="5">
        <v>77.484</v>
      </c>
      <c r="G62" s="4"/>
      <c r="K62" s="7"/>
    </row>
    <row r="63" s="1" customFormat="1" ht="23" customHeight="1" spans="1:11">
      <c r="A63" s="4">
        <v>61</v>
      </c>
      <c r="B63" s="4" t="str">
        <f>"20010311721"</f>
        <v>20010311721</v>
      </c>
      <c r="C63" s="4" t="str">
        <f t="shared" ref="C63:C77" si="23">"2001"</f>
        <v>2001</v>
      </c>
      <c r="D63" s="4" t="str">
        <f>"朱康佳"</f>
        <v>朱康佳</v>
      </c>
      <c r="E63" s="4" t="str">
        <f t="shared" si="21"/>
        <v>女</v>
      </c>
      <c r="F63" s="5">
        <v>80.744</v>
      </c>
      <c r="G63" s="4"/>
      <c r="H63" s="6"/>
      <c r="K63" s="7"/>
    </row>
    <row r="64" s="1" customFormat="1" ht="23" customHeight="1" spans="1:11">
      <c r="A64" s="4">
        <v>62</v>
      </c>
      <c r="B64" s="4" t="str">
        <f>"20010311115"</f>
        <v>20010311115</v>
      </c>
      <c r="C64" s="4" t="str">
        <f t="shared" si="23"/>
        <v>2001</v>
      </c>
      <c r="D64" s="4" t="str">
        <f>"胡守菊"</f>
        <v>胡守菊</v>
      </c>
      <c r="E64" s="4" t="str">
        <f t="shared" si="21"/>
        <v>女</v>
      </c>
      <c r="F64" s="5">
        <v>80.336</v>
      </c>
      <c r="G64" s="4"/>
      <c r="K64" s="7"/>
    </row>
    <row r="65" s="1" customFormat="1" ht="23" customHeight="1" spans="1:11">
      <c r="A65" s="4">
        <v>63</v>
      </c>
      <c r="B65" s="4" t="str">
        <f>"20010311126"</f>
        <v>20010311126</v>
      </c>
      <c r="C65" s="4" t="str">
        <f t="shared" si="23"/>
        <v>2001</v>
      </c>
      <c r="D65" s="4" t="str">
        <f>"张甜"</f>
        <v>张甜</v>
      </c>
      <c r="E65" s="4" t="str">
        <f t="shared" si="21"/>
        <v>女</v>
      </c>
      <c r="F65" s="5">
        <v>80.172</v>
      </c>
      <c r="G65" s="4"/>
      <c r="K65" s="7"/>
    </row>
    <row r="66" s="1" customFormat="1" ht="23" customHeight="1" spans="1:11">
      <c r="A66" s="4">
        <v>64</v>
      </c>
      <c r="B66" s="4" t="str">
        <f>"20010310417"</f>
        <v>20010310417</v>
      </c>
      <c r="C66" s="4" t="str">
        <f t="shared" si="23"/>
        <v>2001</v>
      </c>
      <c r="D66" s="4" t="str">
        <f>"王青"</f>
        <v>王青</v>
      </c>
      <c r="E66" s="4" t="str">
        <f t="shared" si="21"/>
        <v>女</v>
      </c>
      <c r="F66" s="5">
        <v>80.084</v>
      </c>
      <c r="G66" s="4"/>
      <c r="H66" s="6"/>
      <c r="K66" s="7"/>
    </row>
    <row r="67" s="1" customFormat="1" ht="23" customHeight="1" spans="1:11">
      <c r="A67" s="4">
        <v>65</v>
      </c>
      <c r="B67" s="4" t="str">
        <f>"20010310909"</f>
        <v>20010310909</v>
      </c>
      <c r="C67" s="4" t="str">
        <f t="shared" si="23"/>
        <v>2001</v>
      </c>
      <c r="D67" s="4" t="str">
        <f>"马继琳"</f>
        <v>马继琳</v>
      </c>
      <c r="E67" s="4" t="str">
        <f t="shared" si="21"/>
        <v>女</v>
      </c>
      <c r="F67" s="5">
        <v>79.988</v>
      </c>
      <c r="G67" s="4"/>
      <c r="K67" s="7"/>
    </row>
    <row r="68" s="1" customFormat="1" ht="23" customHeight="1" spans="1:11">
      <c r="A68" s="4">
        <v>66</v>
      </c>
      <c r="B68" s="4" t="str">
        <f>"20010310015"</f>
        <v>20010310015</v>
      </c>
      <c r="C68" s="4" t="str">
        <f t="shared" si="23"/>
        <v>2001</v>
      </c>
      <c r="D68" s="4" t="str">
        <f>"张艺"</f>
        <v>张艺</v>
      </c>
      <c r="E68" s="4" t="str">
        <f t="shared" si="21"/>
        <v>女</v>
      </c>
      <c r="F68" s="5">
        <v>79.58</v>
      </c>
      <c r="G68" s="4"/>
      <c r="H68" s="6"/>
      <c r="K68" s="7"/>
    </row>
    <row r="69" s="1" customFormat="1" ht="23" customHeight="1" spans="1:11">
      <c r="A69" s="4">
        <v>67</v>
      </c>
      <c r="B69" s="4" t="str">
        <f>"20010311124"</f>
        <v>20010311124</v>
      </c>
      <c r="C69" s="4" t="str">
        <f t="shared" si="23"/>
        <v>2001</v>
      </c>
      <c r="D69" s="4" t="str">
        <f>"吕彩可"</f>
        <v>吕彩可</v>
      </c>
      <c r="E69" s="4" t="str">
        <f t="shared" si="21"/>
        <v>女</v>
      </c>
      <c r="F69" s="5">
        <v>79.576</v>
      </c>
      <c r="G69" s="4"/>
      <c r="H69" s="6"/>
      <c r="K69" s="7"/>
    </row>
    <row r="70" s="1" customFormat="1" ht="23" customHeight="1" spans="1:11">
      <c r="A70" s="4">
        <v>68</v>
      </c>
      <c r="B70" s="4" t="str">
        <f>"20010310213"</f>
        <v>20010310213</v>
      </c>
      <c r="C70" s="4" t="str">
        <f t="shared" si="23"/>
        <v>2001</v>
      </c>
      <c r="D70" s="4" t="str">
        <f>"李鹏玉"</f>
        <v>李鹏玉</v>
      </c>
      <c r="E70" s="4" t="str">
        <f t="shared" si="21"/>
        <v>女</v>
      </c>
      <c r="F70" s="5">
        <v>79.504</v>
      </c>
      <c r="G70" s="4"/>
      <c r="H70" s="6"/>
      <c r="K70" s="7"/>
    </row>
    <row r="71" s="1" customFormat="1" ht="23" customHeight="1" spans="1:11">
      <c r="A71" s="4">
        <v>69</v>
      </c>
      <c r="B71" s="4" t="str">
        <f>"20010309826"</f>
        <v>20010309826</v>
      </c>
      <c r="C71" s="4" t="str">
        <f t="shared" si="23"/>
        <v>2001</v>
      </c>
      <c r="D71" s="4" t="str">
        <f>"吕洋"</f>
        <v>吕洋</v>
      </c>
      <c r="E71" s="4" t="str">
        <f>"男"</f>
        <v>男</v>
      </c>
      <c r="F71" s="5">
        <v>79.492</v>
      </c>
      <c r="G71" s="4"/>
      <c r="H71" s="6"/>
      <c r="K71" s="7"/>
    </row>
    <row r="72" s="1" customFormat="1" ht="23" customHeight="1" spans="1:11">
      <c r="A72" s="4">
        <v>70</v>
      </c>
      <c r="B72" s="4" t="str">
        <f>"20010310705"</f>
        <v>20010310705</v>
      </c>
      <c r="C72" s="4" t="str">
        <f t="shared" si="23"/>
        <v>2001</v>
      </c>
      <c r="D72" s="4" t="str">
        <f>"宋汶格"</f>
        <v>宋汶格</v>
      </c>
      <c r="E72" s="4" t="str">
        <f t="shared" ref="E72:E83" si="24">"女"</f>
        <v>女</v>
      </c>
      <c r="F72" s="5">
        <v>79.444</v>
      </c>
      <c r="G72" s="4"/>
      <c r="K72" s="7"/>
    </row>
    <row r="73" s="1" customFormat="1" ht="23" customHeight="1" spans="1:11">
      <c r="A73" s="4">
        <v>71</v>
      </c>
      <c r="B73" s="4" t="str">
        <f>"20010310305"</f>
        <v>20010310305</v>
      </c>
      <c r="C73" s="4" t="str">
        <f t="shared" si="23"/>
        <v>2001</v>
      </c>
      <c r="D73" s="4" t="str">
        <f>"苏芳苗"</f>
        <v>苏芳苗</v>
      </c>
      <c r="E73" s="4" t="str">
        <f t="shared" si="24"/>
        <v>女</v>
      </c>
      <c r="F73" s="5">
        <v>79.276</v>
      </c>
      <c r="G73" s="4"/>
      <c r="H73" s="6"/>
      <c r="K73" s="7"/>
    </row>
    <row r="74" s="1" customFormat="1" ht="23" customHeight="1" spans="1:11">
      <c r="A74" s="4">
        <v>72</v>
      </c>
      <c r="B74" s="4" t="str">
        <f>"20010310001"</f>
        <v>20010310001</v>
      </c>
      <c r="C74" s="4" t="str">
        <f t="shared" si="23"/>
        <v>2001</v>
      </c>
      <c r="D74" s="4" t="str">
        <f>"鲁茜"</f>
        <v>鲁茜</v>
      </c>
      <c r="E74" s="4" t="str">
        <f t="shared" si="24"/>
        <v>女</v>
      </c>
      <c r="F74" s="5">
        <v>79.26</v>
      </c>
      <c r="G74" s="4"/>
      <c r="H74" s="6"/>
      <c r="K74" s="7"/>
    </row>
    <row r="75" s="1" customFormat="1" ht="23" customHeight="1" spans="1:11">
      <c r="A75" s="4">
        <v>73</v>
      </c>
      <c r="B75" s="4" t="str">
        <f>"20010311004"</f>
        <v>20010311004</v>
      </c>
      <c r="C75" s="4" t="str">
        <f t="shared" si="23"/>
        <v>2001</v>
      </c>
      <c r="D75" s="4" t="str">
        <f>"张铭"</f>
        <v>张铭</v>
      </c>
      <c r="E75" s="4" t="str">
        <f t="shared" si="24"/>
        <v>女</v>
      </c>
      <c r="F75" s="5">
        <v>79.04</v>
      </c>
      <c r="G75" s="4"/>
      <c r="K75" s="7"/>
    </row>
    <row r="76" s="1" customFormat="1" ht="23" customHeight="1" spans="1:11">
      <c r="A76" s="4">
        <v>74</v>
      </c>
      <c r="B76" s="4" t="str">
        <f>"20010310223"</f>
        <v>20010310223</v>
      </c>
      <c r="C76" s="4" t="str">
        <f t="shared" si="23"/>
        <v>2001</v>
      </c>
      <c r="D76" s="4" t="str">
        <f>"时雅茹"</f>
        <v>时雅茹</v>
      </c>
      <c r="E76" s="4" t="str">
        <f t="shared" si="24"/>
        <v>女</v>
      </c>
      <c r="F76" s="5">
        <v>78.964</v>
      </c>
      <c r="G76" s="4"/>
      <c r="K76" s="7"/>
    </row>
    <row r="77" s="1" customFormat="1" ht="23" customHeight="1" spans="1:11">
      <c r="A77" s="4">
        <v>75</v>
      </c>
      <c r="B77" s="4" t="str">
        <f>"20010311514"</f>
        <v>20010311514</v>
      </c>
      <c r="C77" s="4" t="str">
        <f t="shared" si="23"/>
        <v>2001</v>
      </c>
      <c r="D77" s="4" t="str">
        <f>"郭歌"</f>
        <v>郭歌</v>
      </c>
      <c r="E77" s="4" t="str">
        <f t="shared" si="24"/>
        <v>女</v>
      </c>
      <c r="F77" s="5">
        <v>78.936</v>
      </c>
      <c r="G77" s="4"/>
      <c r="K77" s="7"/>
    </row>
    <row r="78" s="1" customFormat="1" ht="23" customHeight="1" spans="1:11">
      <c r="A78" s="4">
        <v>76</v>
      </c>
      <c r="B78" s="4" t="str">
        <f>"20020312719"</f>
        <v>20020312719</v>
      </c>
      <c r="C78" s="4" t="str">
        <f t="shared" ref="C78:C92" si="25">"2002"</f>
        <v>2002</v>
      </c>
      <c r="D78" s="4" t="str">
        <f>"胡盼"</f>
        <v>胡盼</v>
      </c>
      <c r="E78" s="4" t="str">
        <f t="shared" si="24"/>
        <v>女</v>
      </c>
      <c r="F78" s="5">
        <v>80.756</v>
      </c>
      <c r="G78" s="4"/>
      <c r="H78" s="6"/>
      <c r="K78" s="7"/>
    </row>
    <row r="79" s="1" customFormat="1" ht="23" customHeight="1" spans="1:11">
      <c r="A79" s="4">
        <v>77</v>
      </c>
      <c r="B79" s="4" t="str">
        <f>"20020312223"</f>
        <v>20020312223</v>
      </c>
      <c r="C79" s="4" t="str">
        <f t="shared" si="25"/>
        <v>2002</v>
      </c>
      <c r="D79" s="4" t="str">
        <f>"刘庭婷"</f>
        <v>刘庭婷</v>
      </c>
      <c r="E79" s="4" t="str">
        <f t="shared" si="24"/>
        <v>女</v>
      </c>
      <c r="F79" s="5">
        <v>79.784</v>
      </c>
      <c r="G79" s="4"/>
      <c r="H79" s="6"/>
      <c r="K79" s="7"/>
    </row>
    <row r="80" s="1" customFormat="1" ht="23" customHeight="1" spans="1:11">
      <c r="A80" s="4">
        <v>78</v>
      </c>
      <c r="B80" s="4" t="str">
        <f>"20020312619"</f>
        <v>20020312619</v>
      </c>
      <c r="C80" s="4" t="str">
        <f t="shared" si="25"/>
        <v>2002</v>
      </c>
      <c r="D80" s="4" t="str">
        <f>"李丹妮"</f>
        <v>李丹妮</v>
      </c>
      <c r="E80" s="4" t="str">
        <f t="shared" si="24"/>
        <v>女</v>
      </c>
      <c r="F80" s="5">
        <v>78.76</v>
      </c>
      <c r="G80" s="4"/>
      <c r="H80" s="6"/>
      <c r="K80" s="7"/>
    </row>
    <row r="81" s="1" customFormat="1" ht="23" customHeight="1" spans="1:11">
      <c r="A81" s="4">
        <v>79</v>
      </c>
      <c r="B81" s="4" t="str">
        <f>"20020312112"</f>
        <v>20020312112</v>
      </c>
      <c r="C81" s="4" t="str">
        <f t="shared" si="25"/>
        <v>2002</v>
      </c>
      <c r="D81" s="4" t="str">
        <f>"戚卉鑫"</f>
        <v>戚卉鑫</v>
      </c>
      <c r="E81" s="4" t="str">
        <f t="shared" si="24"/>
        <v>女</v>
      </c>
      <c r="F81" s="5">
        <v>78.468</v>
      </c>
      <c r="G81" s="4"/>
      <c r="K81" s="7"/>
    </row>
    <row r="82" s="1" customFormat="1" ht="23" customHeight="1" spans="1:11">
      <c r="A82" s="4">
        <v>80</v>
      </c>
      <c r="B82" s="4" t="str">
        <f>"20020312716"</f>
        <v>20020312716</v>
      </c>
      <c r="C82" s="4" t="str">
        <f t="shared" si="25"/>
        <v>2002</v>
      </c>
      <c r="D82" s="4" t="str">
        <f>"张宛玉"</f>
        <v>张宛玉</v>
      </c>
      <c r="E82" s="4" t="str">
        <f t="shared" si="24"/>
        <v>女</v>
      </c>
      <c r="F82" s="5">
        <v>78.364</v>
      </c>
      <c r="G82" s="4"/>
      <c r="K82" s="7"/>
    </row>
    <row r="83" s="1" customFormat="1" ht="23" customHeight="1" spans="1:11">
      <c r="A83" s="4">
        <v>81</v>
      </c>
      <c r="B83" s="4" t="str">
        <f>"20020311810"</f>
        <v>20020311810</v>
      </c>
      <c r="C83" s="4" t="str">
        <f t="shared" si="25"/>
        <v>2002</v>
      </c>
      <c r="D83" s="4" t="str">
        <f>"杨璐雨"</f>
        <v>杨璐雨</v>
      </c>
      <c r="E83" s="4" t="str">
        <f t="shared" si="24"/>
        <v>女</v>
      </c>
      <c r="F83" s="5">
        <v>77.972</v>
      </c>
      <c r="G83" s="4"/>
      <c r="K83" s="7"/>
    </row>
    <row r="84" s="1" customFormat="1" ht="23" customHeight="1" spans="1:11">
      <c r="A84" s="4">
        <v>82</v>
      </c>
      <c r="B84" s="4" t="str">
        <f>"20020312423"</f>
        <v>20020312423</v>
      </c>
      <c r="C84" s="4" t="str">
        <f t="shared" si="25"/>
        <v>2002</v>
      </c>
      <c r="D84" s="4" t="str">
        <f>"赵庆洪"</f>
        <v>赵庆洪</v>
      </c>
      <c r="E84" s="4" t="str">
        <f>"男"</f>
        <v>男</v>
      </c>
      <c r="F84" s="5">
        <v>77.78</v>
      </c>
      <c r="G84" s="4"/>
      <c r="H84" s="6"/>
      <c r="K84" s="7"/>
    </row>
    <row r="85" s="1" customFormat="1" ht="23" customHeight="1" spans="1:11">
      <c r="A85" s="4">
        <v>83</v>
      </c>
      <c r="B85" s="4" t="str">
        <f>"20020311803"</f>
        <v>20020311803</v>
      </c>
      <c r="C85" s="4" t="str">
        <f t="shared" si="25"/>
        <v>2002</v>
      </c>
      <c r="D85" s="4" t="str">
        <f>"崔娇娇"</f>
        <v>崔娇娇</v>
      </c>
      <c r="E85" s="4" t="str">
        <f t="shared" ref="E85:E91" si="26">"女"</f>
        <v>女</v>
      </c>
      <c r="F85" s="5">
        <v>77.556</v>
      </c>
      <c r="G85" s="4"/>
      <c r="H85" s="6"/>
      <c r="K85" s="7"/>
    </row>
    <row r="86" s="1" customFormat="1" ht="23" customHeight="1" spans="1:11">
      <c r="A86" s="4">
        <v>84</v>
      </c>
      <c r="B86" s="4" t="str">
        <f>"20020311809"</f>
        <v>20020311809</v>
      </c>
      <c r="C86" s="4" t="str">
        <f t="shared" si="25"/>
        <v>2002</v>
      </c>
      <c r="D86" s="4" t="str">
        <f>"苏家音"</f>
        <v>苏家音</v>
      </c>
      <c r="E86" s="4" t="str">
        <f t="shared" si="26"/>
        <v>女</v>
      </c>
      <c r="F86" s="5">
        <v>77.524</v>
      </c>
      <c r="G86" s="4"/>
      <c r="K86" s="7"/>
    </row>
    <row r="87" s="1" customFormat="1" ht="23" customHeight="1" spans="1:11">
      <c r="A87" s="4">
        <v>85</v>
      </c>
      <c r="B87" s="4" t="str">
        <f>"20020312730"</f>
        <v>20020312730</v>
      </c>
      <c r="C87" s="4" t="str">
        <f t="shared" si="25"/>
        <v>2002</v>
      </c>
      <c r="D87" s="4" t="str">
        <f>"李强"</f>
        <v>李强</v>
      </c>
      <c r="E87" s="4" t="str">
        <f t="shared" si="26"/>
        <v>女</v>
      </c>
      <c r="F87" s="5">
        <v>77.34</v>
      </c>
      <c r="G87" s="4"/>
      <c r="K87" s="7"/>
    </row>
    <row r="88" s="1" customFormat="1" ht="23" customHeight="1" spans="1:11">
      <c r="A88" s="4">
        <v>86</v>
      </c>
      <c r="B88" s="4" t="str">
        <f>"20020312201"</f>
        <v>20020312201</v>
      </c>
      <c r="C88" s="4" t="str">
        <f t="shared" si="25"/>
        <v>2002</v>
      </c>
      <c r="D88" s="4" t="str">
        <f>"王凌淳"</f>
        <v>王凌淳</v>
      </c>
      <c r="E88" s="4" t="str">
        <f t="shared" si="26"/>
        <v>女</v>
      </c>
      <c r="F88" s="5">
        <v>77.304</v>
      </c>
      <c r="G88" s="4"/>
      <c r="H88" s="6"/>
      <c r="K88" s="7"/>
    </row>
    <row r="89" s="1" customFormat="1" ht="23" customHeight="1" spans="1:11">
      <c r="A89" s="4">
        <v>87</v>
      </c>
      <c r="B89" s="4" t="str">
        <f>"20020311808"</f>
        <v>20020311808</v>
      </c>
      <c r="C89" s="4" t="str">
        <f t="shared" si="25"/>
        <v>2002</v>
      </c>
      <c r="D89" s="4" t="str">
        <f>"王晨"</f>
        <v>王晨</v>
      </c>
      <c r="E89" s="4" t="str">
        <f t="shared" si="26"/>
        <v>女</v>
      </c>
      <c r="F89" s="5">
        <v>77.208</v>
      </c>
      <c r="G89" s="4"/>
      <c r="K89" s="7"/>
    </row>
    <row r="90" s="1" customFormat="1" ht="23" customHeight="1" spans="1:11">
      <c r="A90" s="4">
        <v>88</v>
      </c>
      <c r="B90" s="4" t="str">
        <f>"20020312429"</f>
        <v>20020312429</v>
      </c>
      <c r="C90" s="4" t="str">
        <f t="shared" si="25"/>
        <v>2002</v>
      </c>
      <c r="D90" s="4" t="str">
        <f>"翟嘉玲"</f>
        <v>翟嘉玲</v>
      </c>
      <c r="E90" s="4" t="str">
        <f t="shared" si="26"/>
        <v>女</v>
      </c>
      <c r="F90" s="5">
        <v>77.136</v>
      </c>
      <c r="G90" s="4"/>
      <c r="H90" s="6"/>
      <c r="K90" s="7"/>
    </row>
    <row r="91" s="1" customFormat="1" ht="23" customHeight="1" spans="1:11">
      <c r="A91" s="4">
        <v>89</v>
      </c>
      <c r="B91" s="4" t="str">
        <f>"20020311730"</f>
        <v>20020311730</v>
      </c>
      <c r="C91" s="4" t="str">
        <f t="shared" si="25"/>
        <v>2002</v>
      </c>
      <c r="D91" s="4" t="str">
        <f>"李贺颖"</f>
        <v>李贺颖</v>
      </c>
      <c r="E91" s="4" t="str">
        <f t="shared" si="26"/>
        <v>女</v>
      </c>
      <c r="F91" s="5">
        <v>77.084</v>
      </c>
      <c r="G91" s="4"/>
      <c r="H91" s="6"/>
      <c r="K91" s="7"/>
    </row>
    <row r="92" s="1" customFormat="1" ht="23" customHeight="1" spans="1:11">
      <c r="A92" s="4">
        <v>90</v>
      </c>
      <c r="B92" s="4" t="str">
        <f>"20020311728"</f>
        <v>20020311728</v>
      </c>
      <c r="C92" s="4" t="str">
        <f t="shared" si="25"/>
        <v>2002</v>
      </c>
      <c r="D92" s="4" t="str">
        <f>"勇鹏飞"</f>
        <v>勇鹏飞</v>
      </c>
      <c r="E92" s="4" t="str">
        <f>"男"</f>
        <v>男</v>
      </c>
      <c r="F92" s="5">
        <v>77.036</v>
      </c>
      <c r="G92" s="4"/>
      <c r="K92" s="7"/>
    </row>
    <row r="93" s="1" customFormat="1" ht="23" customHeight="1" spans="1:11">
      <c r="A93" s="4">
        <v>91</v>
      </c>
      <c r="B93" s="4" t="str">
        <f>"20030412830"</f>
        <v>20030412830</v>
      </c>
      <c r="C93" s="4" t="str">
        <f t="shared" ref="C93:C104" si="27">"2003"</f>
        <v>2003</v>
      </c>
      <c r="D93" s="4" t="str">
        <f>"苗梦"</f>
        <v>苗梦</v>
      </c>
      <c r="E93" s="4" t="str">
        <f t="shared" ref="E93:E104" si="28">"女"</f>
        <v>女</v>
      </c>
      <c r="F93" s="5">
        <v>80.54</v>
      </c>
      <c r="G93" s="4"/>
      <c r="K93" s="7"/>
    </row>
    <row r="94" s="1" customFormat="1" ht="23" customHeight="1" spans="1:11">
      <c r="A94" s="4">
        <v>92</v>
      </c>
      <c r="B94" s="4" t="str">
        <f>"20030414204"</f>
        <v>20030414204</v>
      </c>
      <c r="C94" s="4" t="str">
        <f t="shared" si="27"/>
        <v>2003</v>
      </c>
      <c r="D94" s="4" t="str">
        <f>"张永音"</f>
        <v>张永音</v>
      </c>
      <c r="E94" s="4" t="str">
        <f t="shared" si="28"/>
        <v>女</v>
      </c>
      <c r="F94" s="5">
        <v>79.208</v>
      </c>
      <c r="G94" s="4"/>
      <c r="K94" s="7"/>
    </row>
    <row r="95" s="1" customFormat="1" ht="23" customHeight="1" spans="1:11">
      <c r="A95" s="4">
        <v>93</v>
      </c>
      <c r="B95" s="4" t="str">
        <f>"20030413816"</f>
        <v>20030413816</v>
      </c>
      <c r="C95" s="4" t="str">
        <f t="shared" si="27"/>
        <v>2003</v>
      </c>
      <c r="D95" s="4" t="str">
        <f>"李雪"</f>
        <v>李雪</v>
      </c>
      <c r="E95" s="4" t="str">
        <f t="shared" si="28"/>
        <v>女</v>
      </c>
      <c r="F95" s="5">
        <v>78.684</v>
      </c>
      <c r="G95" s="4"/>
      <c r="K95" s="7"/>
    </row>
    <row r="96" s="1" customFormat="1" ht="23" customHeight="1" spans="1:11">
      <c r="A96" s="4">
        <v>94</v>
      </c>
      <c r="B96" s="4" t="str">
        <f>"20030413513"</f>
        <v>20030413513</v>
      </c>
      <c r="C96" s="4" t="str">
        <f t="shared" si="27"/>
        <v>2003</v>
      </c>
      <c r="D96" s="4" t="str">
        <f>"李璐"</f>
        <v>李璐</v>
      </c>
      <c r="E96" s="4" t="str">
        <f t="shared" si="28"/>
        <v>女</v>
      </c>
      <c r="F96" s="5">
        <v>78.36</v>
      </c>
      <c r="G96" s="4"/>
      <c r="K96" s="7"/>
    </row>
    <row r="97" s="1" customFormat="1" ht="23" customHeight="1" spans="1:11">
      <c r="A97" s="4">
        <v>95</v>
      </c>
      <c r="B97" s="4" t="str">
        <f>"20030413915"</f>
        <v>20030413915</v>
      </c>
      <c r="C97" s="4" t="str">
        <f t="shared" si="27"/>
        <v>2003</v>
      </c>
      <c r="D97" s="4" t="str">
        <f>"宋江倩"</f>
        <v>宋江倩</v>
      </c>
      <c r="E97" s="4" t="str">
        <f t="shared" si="28"/>
        <v>女</v>
      </c>
      <c r="F97" s="5">
        <v>78.348</v>
      </c>
      <c r="G97" s="4"/>
      <c r="K97" s="7"/>
    </row>
    <row r="98" s="1" customFormat="1" ht="23" customHeight="1" spans="1:11">
      <c r="A98" s="4">
        <v>96</v>
      </c>
      <c r="B98" s="4" t="str">
        <f>"20030413902"</f>
        <v>20030413902</v>
      </c>
      <c r="C98" s="4" t="str">
        <f t="shared" si="27"/>
        <v>2003</v>
      </c>
      <c r="D98" s="4" t="str">
        <f>"张鑫鑫"</f>
        <v>张鑫鑫</v>
      </c>
      <c r="E98" s="4" t="str">
        <f t="shared" si="28"/>
        <v>女</v>
      </c>
      <c r="F98" s="5">
        <v>78.124</v>
      </c>
      <c r="G98" s="4"/>
      <c r="K98" s="7"/>
    </row>
    <row r="99" s="1" customFormat="1" ht="23" customHeight="1" spans="1:11">
      <c r="A99" s="4">
        <v>97</v>
      </c>
      <c r="B99" s="4" t="str">
        <f>"20030413123"</f>
        <v>20030413123</v>
      </c>
      <c r="C99" s="4" t="str">
        <f t="shared" si="27"/>
        <v>2003</v>
      </c>
      <c r="D99" s="4" t="str">
        <f>"刘志仙"</f>
        <v>刘志仙</v>
      </c>
      <c r="E99" s="4" t="str">
        <f t="shared" si="28"/>
        <v>女</v>
      </c>
      <c r="F99" s="5">
        <v>78.12</v>
      </c>
      <c r="G99" s="4"/>
      <c r="K99" s="7"/>
    </row>
    <row r="100" s="1" customFormat="1" ht="23" customHeight="1" spans="1:11">
      <c r="A100" s="4">
        <v>98</v>
      </c>
      <c r="B100" s="4" t="str">
        <f>"20030413324"</f>
        <v>20030413324</v>
      </c>
      <c r="C100" s="4" t="str">
        <f t="shared" si="27"/>
        <v>2003</v>
      </c>
      <c r="D100" s="4" t="str">
        <f>"苏丹阳"</f>
        <v>苏丹阳</v>
      </c>
      <c r="E100" s="4" t="str">
        <f t="shared" si="28"/>
        <v>女</v>
      </c>
      <c r="F100" s="5">
        <v>78.084</v>
      </c>
      <c r="G100" s="4"/>
      <c r="K100" s="7"/>
    </row>
    <row r="101" s="1" customFormat="1" ht="23" customHeight="1" spans="1:11">
      <c r="A101" s="4">
        <v>99</v>
      </c>
      <c r="B101" s="4" t="str">
        <f>"20030413003"</f>
        <v>20030413003</v>
      </c>
      <c r="C101" s="4" t="str">
        <f t="shared" si="27"/>
        <v>2003</v>
      </c>
      <c r="D101" s="4" t="str">
        <f>"何彦霓"</f>
        <v>何彦霓</v>
      </c>
      <c r="E101" s="4" t="str">
        <f t="shared" si="28"/>
        <v>女</v>
      </c>
      <c r="F101" s="5">
        <v>78.008</v>
      </c>
      <c r="G101" s="4"/>
      <c r="K101" s="7"/>
    </row>
    <row r="102" s="1" customFormat="1" ht="23" customHeight="1" spans="1:11">
      <c r="A102" s="4">
        <v>100</v>
      </c>
      <c r="B102" s="4" t="str">
        <f>"20030413914"</f>
        <v>20030413914</v>
      </c>
      <c r="C102" s="4" t="str">
        <f t="shared" si="27"/>
        <v>2003</v>
      </c>
      <c r="D102" s="4" t="str">
        <f>"王清月"</f>
        <v>王清月</v>
      </c>
      <c r="E102" s="4" t="str">
        <f t="shared" si="28"/>
        <v>女</v>
      </c>
      <c r="F102" s="5">
        <v>77.996</v>
      </c>
      <c r="G102" s="4"/>
      <c r="K102" s="7"/>
    </row>
    <row r="103" s="1" customFormat="1" ht="23" customHeight="1" spans="1:11">
      <c r="A103" s="4">
        <v>101</v>
      </c>
      <c r="B103" s="4" t="str">
        <f>"20030413929"</f>
        <v>20030413929</v>
      </c>
      <c r="C103" s="4" t="str">
        <f t="shared" si="27"/>
        <v>2003</v>
      </c>
      <c r="D103" s="4" t="str">
        <f>"许晨阳"</f>
        <v>许晨阳</v>
      </c>
      <c r="E103" s="4" t="str">
        <f t="shared" si="28"/>
        <v>女</v>
      </c>
      <c r="F103" s="5">
        <v>77.912</v>
      </c>
      <c r="G103" s="4"/>
      <c r="K103" s="7"/>
    </row>
    <row r="104" s="1" customFormat="1" ht="23" customHeight="1" spans="1:11">
      <c r="A104" s="4">
        <v>102</v>
      </c>
      <c r="B104" s="4" t="str">
        <f>"20030414224"</f>
        <v>20030414224</v>
      </c>
      <c r="C104" s="4" t="str">
        <f t="shared" si="27"/>
        <v>2003</v>
      </c>
      <c r="D104" s="4" t="str">
        <f>"牛佳欣"</f>
        <v>牛佳欣</v>
      </c>
      <c r="E104" s="4" t="str">
        <f t="shared" si="28"/>
        <v>女</v>
      </c>
      <c r="F104" s="5">
        <v>77.748</v>
      </c>
      <c r="G104" s="4"/>
      <c r="K104" s="7"/>
    </row>
    <row r="105" s="1" customFormat="1" ht="23" customHeight="1" spans="1:11">
      <c r="A105" s="4">
        <v>103</v>
      </c>
      <c r="B105" s="4" t="str">
        <f>"20040414312"</f>
        <v>20040414312</v>
      </c>
      <c r="C105" s="4" t="str">
        <f t="shared" ref="C105:C110" si="29">"2004"</f>
        <v>2004</v>
      </c>
      <c r="D105" s="4" t="str">
        <f>"王寅"</f>
        <v>王寅</v>
      </c>
      <c r="E105" s="4" t="str">
        <f>"男"</f>
        <v>男</v>
      </c>
      <c r="F105" s="5">
        <v>78.168</v>
      </c>
      <c r="G105" s="4"/>
      <c r="K105" s="7"/>
    </row>
    <row r="106" s="1" customFormat="1" ht="23" customHeight="1" spans="1:11">
      <c r="A106" s="4">
        <v>104</v>
      </c>
      <c r="B106" s="4" t="str">
        <f>"20040414408"</f>
        <v>20040414408</v>
      </c>
      <c r="C106" s="4" t="str">
        <f t="shared" si="29"/>
        <v>2004</v>
      </c>
      <c r="D106" s="4" t="str">
        <f>"孙若楠"</f>
        <v>孙若楠</v>
      </c>
      <c r="E106" s="4" t="str">
        <f t="shared" ref="E106:E112" si="30">"女"</f>
        <v>女</v>
      </c>
      <c r="F106" s="5">
        <v>76.156</v>
      </c>
      <c r="G106" s="4"/>
      <c r="K106" s="7"/>
    </row>
    <row r="107" s="1" customFormat="1" ht="23" customHeight="1" spans="1:11">
      <c r="A107" s="4">
        <v>105</v>
      </c>
      <c r="B107" s="4" t="str">
        <f>"20040414412"</f>
        <v>20040414412</v>
      </c>
      <c r="C107" s="4" t="str">
        <f t="shared" si="29"/>
        <v>2004</v>
      </c>
      <c r="D107" s="4" t="str">
        <f>"王子晴"</f>
        <v>王子晴</v>
      </c>
      <c r="E107" s="4" t="str">
        <f t="shared" si="30"/>
        <v>女</v>
      </c>
      <c r="F107" s="5">
        <v>76.112</v>
      </c>
      <c r="G107" s="4"/>
      <c r="K107" s="7"/>
    </row>
    <row r="108" s="1" customFormat="1" ht="23" customHeight="1" spans="1:11">
      <c r="A108" s="4">
        <v>106</v>
      </c>
      <c r="B108" s="4" t="str">
        <f>"20040414423"</f>
        <v>20040414423</v>
      </c>
      <c r="C108" s="4" t="str">
        <f t="shared" si="29"/>
        <v>2004</v>
      </c>
      <c r="D108" s="4" t="str">
        <f>"王梦雨"</f>
        <v>王梦雨</v>
      </c>
      <c r="E108" s="4" t="str">
        <f t="shared" si="30"/>
        <v>女</v>
      </c>
      <c r="F108" s="5">
        <v>74.644</v>
      </c>
      <c r="G108" s="4"/>
      <c r="K108" s="7"/>
    </row>
    <row r="109" s="1" customFormat="1" ht="23" customHeight="1" spans="1:11">
      <c r="A109" s="4">
        <v>107</v>
      </c>
      <c r="B109" s="4" t="str">
        <f>"20040414413"</f>
        <v>20040414413</v>
      </c>
      <c r="C109" s="4" t="str">
        <f t="shared" si="29"/>
        <v>2004</v>
      </c>
      <c r="D109" s="4" t="str">
        <f>"赵智勇"</f>
        <v>赵智勇</v>
      </c>
      <c r="E109" s="4" t="str">
        <f t="shared" si="30"/>
        <v>女</v>
      </c>
      <c r="F109" s="5">
        <v>74.626</v>
      </c>
      <c r="G109" s="4"/>
      <c r="K109" s="7"/>
    </row>
    <row r="110" s="1" customFormat="1" ht="23" customHeight="1" spans="1:11">
      <c r="A110" s="4">
        <v>108</v>
      </c>
      <c r="B110" s="4" t="str">
        <f>"20040414410"</f>
        <v>20040414410</v>
      </c>
      <c r="C110" s="4" t="str">
        <f t="shared" si="29"/>
        <v>2004</v>
      </c>
      <c r="D110" s="4" t="str">
        <f>"杨亭"</f>
        <v>杨亭</v>
      </c>
      <c r="E110" s="4" t="str">
        <f t="shared" si="30"/>
        <v>女</v>
      </c>
      <c r="F110" s="5">
        <v>73.94</v>
      </c>
      <c r="G110" s="4"/>
      <c r="K110" s="7"/>
    </row>
    <row r="111" s="1" customFormat="1" ht="23" customHeight="1" spans="1:11">
      <c r="A111" s="4">
        <v>109</v>
      </c>
      <c r="B111" s="4" t="str">
        <f>"20050414604"</f>
        <v>20050414604</v>
      </c>
      <c r="C111" s="4" t="str">
        <f t="shared" ref="C111:C116" si="31">"2005"</f>
        <v>2005</v>
      </c>
      <c r="D111" s="4" t="str">
        <f>"陈亚娜"</f>
        <v>陈亚娜</v>
      </c>
      <c r="E111" s="4" t="str">
        <f t="shared" si="30"/>
        <v>女</v>
      </c>
      <c r="F111" s="5">
        <v>78.92</v>
      </c>
      <c r="G111" s="4"/>
      <c r="K111" s="7"/>
    </row>
    <row r="112" s="1" customFormat="1" ht="23" customHeight="1" spans="1:11">
      <c r="A112" s="4">
        <v>110</v>
      </c>
      <c r="B112" s="4" t="str">
        <f>"20050414527"</f>
        <v>20050414527</v>
      </c>
      <c r="C112" s="4" t="str">
        <f t="shared" si="31"/>
        <v>2005</v>
      </c>
      <c r="D112" s="4" t="str">
        <f>"郑昊雯"</f>
        <v>郑昊雯</v>
      </c>
      <c r="E112" s="4" t="str">
        <f t="shared" si="30"/>
        <v>女</v>
      </c>
      <c r="F112" s="5">
        <v>78.152</v>
      </c>
      <c r="G112" s="4"/>
      <c r="K112" s="7"/>
    </row>
    <row r="113" s="1" customFormat="1" ht="23" customHeight="1" spans="1:11">
      <c r="A113" s="4">
        <v>111</v>
      </c>
      <c r="B113" s="4" t="str">
        <f>"20050414519"</f>
        <v>20050414519</v>
      </c>
      <c r="C113" s="4" t="str">
        <f t="shared" si="31"/>
        <v>2005</v>
      </c>
      <c r="D113" s="4" t="str">
        <f>"卢靖仁"</f>
        <v>卢靖仁</v>
      </c>
      <c r="E113" s="4" t="str">
        <f>"男"</f>
        <v>男</v>
      </c>
      <c r="F113" s="5">
        <v>77.384</v>
      </c>
      <c r="G113" s="4"/>
      <c r="K113" s="7"/>
    </row>
    <row r="114" s="1" customFormat="1" ht="23" customHeight="1" spans="1:11">
      <c r="A114" s="4">
        <v>112</v>
      </c>
      <c r="B114" s="4" t="str">
        <f>"20050414522"</f>
        <v>20050414522</v>
      </c>
      <c r="C114" s="4" t="str">
        <f t="shared" si="31"/>
        <v>2005</v>
      </c>
      <c r="D114" s="4" t="str">
        <f>"李飒"</f>
        <v>李飒</v>
      </c>
      <c r="E114" s="4" t="str">
        <f t="shared" ref="E114:E130" si="32">"女"</f>
        <v>女</v>
      </c>
      <c r="F114" s="5">
        <v>76.888</v>
      </c>
      <c r="G114" s="4"/>
      <c r="K114" s="7"/>
    </row>
    <row r="115" s="1" customFormat="1" ht="23" customHeight="1" spans="1:11">
      <c r="A115" s="4">
        <v>113</v>
      </c>
      <c r="B115" s="4" t="str">
        <f>"20050414713"</f>
        <v>20050414713</v>
      </c>
      <c r="C115" s="4" t="str">
        <f t="shared" si="31"/>
        <v>2005</v>
      </c>
      <c r="D115" s="4" t="str">
        <f>"李冰欣"</f>
        <v>李冰欣</v>
      </c>
      <c r="E115" s="4" t="str">
        <f t="shared" si="32"/>
        <v>女</v>
      </c>
      <c r="F115" s="5">
        <v>76.74</v>
      </c>
      <c r="G115" s="4"/>
      <c r="K115" s="7"/>
    </row>
    <row r="116" s="1" customFormat="1" ht="23" customHeight="1" spans="1:11">
      <c r="A116" s="4">
        <v>114</v>
      </c>
      <c r="B116" s="4" t="str">
        <f>"20050414517"</f>
        <v>20050414517</v>
      </c>
      <c r="C116" s="4" t="str">
        <f t="shared" si="31"/>
        <v>2005</v>
      </c>
      <c r="D116" s="4" t="str">
        <f>"马哲"</f>
        <v>马哲</v>
      </c>
      <c r="E116" s="4" t="str">
        <f t="shared" si="32"/>
        <v>女</v>
      </c>
      <c r="F116" s="5">
        <v>76.656</v>
      </c>
      <c r="G116" s="4"/>
      <c r="K116" s="7"/>
    </row>
    <row r="117" s="1" customFormat="1" ht="23" customHeight="1" spans="1:11">
      <c r="A117" s="4">
        <v>115</v>
      </c>
      <c r="B117" s="4" t="str">
        <f>"20060414803"</f>
        <v>20060414803</v>
      </c>
      <c r="C117" s="4" t="str">
        <f t="shared" ref="C117:C122" si="33">"2006"</f>
        <v>2006</v>
      </c>
      <c r="D117" s="4" t="str">
        <f>"李斯"</f>
        <v>李斯</v>
      </c>
      <c r="E117" s="4" t="str">
        <f t="shared" si="32"/>
        <v>女</v>
      </c>
      <c r="F117" s="5">
        <v>78.904</v>
      </c>
      <c r="G117" s="4"/>
      <c r="K117" s="7"/>
    </row>
    <row r="118" s="1" customFormat="1" ht="23" customHeight="1" spans="1:11">
      <c r="A118" s="4">
        <v>116</v>
      </c>
      <c r="B118" s="4" t="str">
        <f>"20060414810"</f>
        <v>20060414810</v>
      </c>
      <c r="C118" s="4" t="str">
        <f t="shared" si="33"/>
        <v>2006</v>
      </c>
      <c r="D118" s="4" t="str">
        <f>"袁素素"</f>
        <v>袁素素</v>
      </c>
      <c r="E118" s="4" t="str">
        <f t="shared" si="32"/>
        <v>女</v>
      </c>
      <c r="F118" s="5">
        <v>78.488</v>
      </c>
      <c r="G118" s="4"/>
      <c r="K118" s="7"/>
    </row>
    <row r="119" s="1" customFormat="1" ht="23" customHeight="1" spans="1:11">
      <c r="A119" s="4">
        <v>117</v>
      </c>
      <c r="B119" s="4" t="str">
        <f>"20060414818"</f>
        <v>20060414818</v>
      </c>
      <c r="C119" s="4" t="str">
        <f t="shared" si="33"/>
        <v>2006</v>
      </c>
      <c r="D119" s="4" t="str">
        <f>"黄伟伟"</f>
        <v>黄伟伟</v>
      </c>
      <c r="E119" s="4" t="str">
        <f t="shared" si="32"/>
        <v>女</v>
      </c>
      <c r="F119" s="5">
        <v>78.156</v>
      </c>
      <c r="G119" s="4"/>
      <c r="K119" s="7"/>
    </row>
    <row r="120" s="1" customFormat="1" ht="23" customHeight="1" spans="1:11">
      <c r="A120" s="4">
        <v>118</v>
      </c>
      <c r="B120" s="4" t="str">
        <f>"20060414726"</f>
        <v>20060414726</v>
      </c>
      <c r="C120" s="4" t="str">
        <f t="shared" si="33"/>
        <v>2006</v>
      </c>
      <c r="D120" s="4" t="str">
        <f>"杨玉乐"</f>
        <v>杨玉乐</v>
      </c>
      <c r="E120" s="4" t="str">
        <f t="shared" si="32"/>
        <v>女</v>
      </c>
      <c r="F120" s="5">
        <v>78.024</v>
      </c>
      <c r="G120" s="4"/>
      <c r="K120" s="7"/>
    </row>
    <row r="121" s="1" customFormat="1" ht="23" customHeight="1" spans="1:11">
      <c r="A121" s="4">
        <v>119</v>
      </c>
      <c r="B121" s="4" t="str">
        <f>"20060414915"</f>
        <v>20060414915</v>
      </c>
      <c r="C121" s="4" t="str">
        <f t="shared" si="33"/>
        <v>2006</v>
      </c>
      <c r="D121" s="4" t="str">
        <f>"朱怡源"</f>
        <v>朱怡源</v>
      </c>
      <c r="E121" s="4" t="str">
        <f t="shared" si="32"/>
        <v>女</v>
      </c>
      <c r="F121" s="5">
        <v>77.828</v>
      </c>
      <c r="G121" s="4"/>
      <c r="K121" s="7"/>
    </row>
    <row r="122" s="1" customFormat="1" ht="23" customHeight="1" spans="1:11">
      <c r="A122" s="4">
        <v>120</v>
      </c>
      <c r="B122" s="4" t="str">
        <f>"20060414820"</f>
        <v>20060414820</v>
      </c>
      <c r="C122" s="4" t="str">
        <f t="shared" si="33"/>
        <v>2006</v>
      </c>
      <c r="D122" s="4" t="str">
        <f>"王小会"</f>
        <v>王小会</v>
      </c>
      <c r="E122" s="4" t="str">
        <f t="shared" si="32"/>
        <v>女</v>
      </c>
      <c r="F122" s="5">
        <v>77.688</v>
      </c>
      <c r="G122" s="4"/>
      <c r="K122" s="7"/>
    </row>
    <row r="123" s="1" customFormat="1" ht="23" customHeight="1" spans="1:11">
      <c r="A123" s="4">
        <v>121</v>
      </c>
      <c r="B123" s="4" t="str">
        <f>"20070415210"</f>
        <v>20070415210</v>
      </c>
      <c r="C123" s="4" t="str">
        <f t="shared" ref="C123:C128" si="34">"2007"</f>
        <v>2007</v>
      </c>
      <c r="D123" s="4" t="str">
        <f>"宋惠"</f>
        <v>宋惠</v>
      </c>
      <c r="E123" s="4" t="str">
        <f t="shared" si="32"/>
        <v>女</v>
      </c>
      <c r="F123" s="5">
        <v>81.324</v>
      </c>
      <c r="G123" s="4"/>
      <c r="K123" s="7"/>
    </row>
    <row r="124" s="1" customFormat="1" ht="23" customHeight="1" spans="1:11">
      <c r="A124" s="4">
        <v>122</v>
      </c>
      <c r="B124" s="4" t="str">
        <f>"20070415129"</f>
        <v>20070415129</v>
      </c>
      <c r="C124" s="4" t="str">
        <f t="shared" si="34"/>
        <v>2007</v>
      </c>
      <c r="D124" s="4" t="str">
        <f>"李苗苗"</f>
        <v>李苗苗</v>
      </c>
      <c r="E124" s="4" t="str">
        <f t="shared" si="32"/>
        <v>女</v>
      </c>
      <c r="F124" s="5">
        <v>79.24</v>
      </c>
      <c r="G124" s="4"/>
      <c r="K124" s="7"/>
    </row>
    <row r="125" s="1" customFormat="1" ht="23" customHeight="1" spans="1:11">
      <c r="A125" s="4">
        <v>123</v>
      </c>
      <c r="B125" s="4" t="str">
        <f>"20070415323"</f>
        <v>20070415323</v>
      </c>
      <c r="C125" s="4" t="str">
        <f t="shared" si="34"/>
        <v>2007</v>
      </c>
      <c r="D125" s="4" t="str">
        <f>"刘新"</f>
        <v>刘新</v>
      </c>
      <c r="E125" s="4" t="str">
        <f t="shared" si="32"/>
        <v>女</v>
      </c>
      <c r="F125" s="5">
        <v>79.016</v>
      </c>
      <c r="G125" s="4"/>
      <c r="K125" s="7"/>
    </row>
    <row r="126" s="1" customFormat="1" ht="23" customHeight="1" spans="1:11">
      <c r="A126" s="4">
        <v>124</v>
      </c>
      <c r="B126" s="4" t="str">
        <f>"20070415228"</f>
        <v>20070415228</v>
      </c>
      <c r="C126" s="4" t="str">
        <f t="shared" si="34"/>
        <v>2007</v>
      </c>
      <c r="D126" s="4" t="str">
        <f>"郭婷婷"</f>
        <v>郭婷婷</v>
      </c>
      <c r="E126" s="4" t="str">
        <f t="shared" si="32"/>
        <v>女</v>
      </c>
      <c r="F126" s="5">
        <v>78.312</v>
      </c>
      <c r="G126" s="4"/>
      <c r="K126" s="7"/>
    </row>
    <row r="127" s="1" customFormat="1" ht="23" customHeight="1" spans="1:11">
      <c r="A127" s="4">
        <v>125</v>
      </c>
      <c r="B127" s="4" t="str">
        <f>"20070415208"</f>
        <v>20070415208</v>
      </c>
      <c r="C127" s="4" t="str">
        <f t="shared" si="34"/>
        <v>2007</v>
      </c>
      <c r="D127" s="4" t="str">
        <f>"胡佳怡"</f>
        <v>胡佳怡</v>
      </c>
      <c r="E127" s="4" t="str">
        <f t="shared" si="32"/>
        <v>女</v>
      </c>
      <c r="F127" s="5">
        <v>77.756</v>
      </c>
      <c r="G127" s="4"/>
      <c r="K127" s="7"/>
    </row>
    <row r="128" s="1" customFormat="1" ht="23" customHeight="1" spans="1:11">
      <c r="A128" s="4">
        <v>126</v>
      </c>
      <c r="B128" s="4" t="str">
        <f>"20070415223"</f>
        <v>20070415223</v>
      </c>
      <c r="C128" s="4" t="str">
        <f t="shared" si="34"/>
        <v>2007</v>
      </c>
      <c r="D128" s="4" t="str">
        <f>"王洒洒"</f>
        <v>王洒洒</v>
      </c>
      <c r="E128" s="4" t="str">
        <f t="shared" si="32"/>
        <v>女</v>
      </c>
      <c r="F128" s="5">
        <v>77.548</v>
      </c>
      <c r="G128" s="4"/>
      <c r="K128" s="7"/>
    </row>
    <row r="129" s="1" customFormat="1" ht="23" customHeight="1" spans="1:11">
      <c r="A129" s="4">
        <v>127</v>
      </c>
      <c r="B129" s="4" t="str">
        <f>"20080415427"</f>
        <v>20080415427</v>
      </c>
      <c r="C129" s="4" t="str">
        <f t="shared" ref="C129:C134" si="35">"2008"</f>
        <v>2008</v>
      </c>
      <c r="D129" s="4" t="str">
        <f>"余鑫鑫"</f>
        <v>余鑫鑫</v>
      </c>
      <c r="E129" s="4" t="str">
        <f t="shared" si="32"/>
        <v>女</v>
      </c>
      <c r="F129" s="5">
        <v>78.856</v>
      </c>
      <c r="G129" s="4"/>
      <c r="K129" s="7"/>
    </row>
    <row r="130" s="1" customFormat="1" ht="23" customHeight="1" spans="1:11">
      <c r="A130" s="4">
        <v>128</v>
      </c>
      <c r="B130" s="4" t="str">
        <f>"20080415426"</f>
        <v>20080415426</v>
      </c>
      <c r="C130" s="4" t="str">
        <f t="shared" si="35"/>
        <v>2008</v>
      </c>
      <c r="D130" s="4" t="str">
        <f>"李洋爽"</f>
        <v>李洋爽</v>
      </c>
      <c r="E130" s="4" t="str">
        <f t="shared" si="32"/>
        <v>女</v>
      </c>
      <c r="F130" s="5">
        <v>77.404</v>
      </c>
      <c r="G130" s="4"/>
      <c r="K130" s="7"/>
    </row>
    <row r="131" s="1" customFormat="1" ht="23" customHeight="1" spans="1:11">
      <c r="A131" s="4">
        <v>129</v>
      </c>
      <c r="B131" s="4" t="str">
        <f>"20080415416"</f>
        <v>20080415416</v>
      </c>
      <c r="C131" s="4" t="str">
        <f t="shared" si="35"/>
        <v>2008</v>
      </c>
      <c r="D131" s="4" t="str">
        <f>"程龙"</f>
        <v>程龙</v>
      </c>
      <c r="E131" s="4" t="str">
        <f>"男"</f>
        <v>男</v>
      </c>
      <c r="F131" s="5">
        <v>77.024</v>
      </c>
      <c r="G131" s="4"/>
      <c r="K131" s="7"/>
    </row>
    <row r="132" s="1" customFormat="1" ht="23" customHeight="1" spans="1:11">
      <c r="A132" s="4">
        <v>130</v>
      </c>
      <c r="B132" s="4" t="str">
        <f>"20080415515"</f>
        <v>20080415515</v>
      </c>
      <c r="C132" s="4" t="str">
        <f t="shared" si="35"/>
        <v>2008</v>
      </c>
      <c r="D132" s="4" t="str">
        <f>"赵幸幸"</f>
        <v>赵幸幸</v>
      </c>
      <c r="E132" s="4" t="str">
        <f t="shared" ref="E132:E137" si="36">"女"</f>
        <v>女</v>
      </c>
      <c r="F132" s="5">
        <v>76.892</v>
      </c>
      <c r="G132" s="4"/>
      <c r="K132" s="7"/>
    </row>
    <row r="133" s="1" customFormat="1" ht="23" customHeight="1" spans="1:11">
      <c r="A133" s="4">
        <v>131</v>
      </c>
      <c r="B133" s="4" t="str">
        <f>"20080415401"</f>
        <v>20080415401</v>
      </c>
      <c r="C133" s="4" t="str">
        <f t="shared" si="35"/>
        <v>2008</v>
      </c>
      <c r="D133" s="4" t="str">
        <f>"李子琦"</f>
        <v>李子琦</v>
      </c>
      <c r="E133" s="4" t="str">
        <f t="shared" si="36"/>
        <v>女</v>
      </c>
      <c r="F133" s="5">
        <v>76.824</v>
      </c>
      <c r="G133" s="4"/>
      <c r="K133" s="7"/>
    </row>
    <row r="134" s="1" customFormat="1" ht="23" customHeight="1" spans="1:11">
      <c r="A134" s="4">
        <v>132</v>
      </c>
      <c r="B134" s="4" t="str">
        <f>"20080415612"</f>
        <v>20080415612</v>
      </c>
      <c r="C134" s="4" t="str">
        <f t="shared" si="35"/>
        <v>2008</v>
      </c>
      <c r="D134" s="4" t="str">
        <f>"周肃霜"</f>
        <v>周肃霜</v>
      </c>
      <c r="E134" s="4" t="str">
        <f t="shared" si="36"/>
        <v>女</v>
      </c>
      <c r="F134" s="5">
        <v>76.54</v>
      </c>
      <c r="G134" s="4"/>
      <c r="K134" s="7"/>
    </row>
    <row r="135" s="1" customFormat="1" ht="23" customHeight="1" spans="1:11">
      <c r="A135" s="4">
        <v>133</v>
      </c>
      <c r="B135" s="4" t="str">
        <f>"20090415707"</f>
        <v>20090415707</v>
      </c>
      <c r="C135" s="4" t="str">
        <f t="shared" ref="C135:C140" si="37">"2009"</f>
        <v>2009</v>
      </c>
      <c r="D135" s="4" t="str">
        <f>"王子玮"</f>
        <v>王子玮</v>
      </c>
      <c r="E135" s="4" t="str">
        <f t="shared" si="36"/>
        <v>女</v>
      </c>
      <c r="F135" s="5">
        <v>76.928</v>
      </c>
      <c r="G135" s="4"/>
      <c r="K135" s="7"/>
    </row>
    <row r="136" s="1" customFormat="1" ht="23" customHeight="1" spans="1:11">
      <c r="A136" s="4">
        <v>134</v>
      </c>
      <c r="B136" s="4" t="str">
        <f>"20090415715"</f>
        <v>20090415715</v>
      </c>
      <c r="C136" s="4" t="str">
        <f t="shared" si="37"/>
        <v>2009</v>
      </c>
      <c r="D136" s="4" t="str">
        <f>"贾珊珊"</f>
        <v>贾珊珊</v>
      </c>
      <c r="E136" s="4" t="str">
        <f t="shared" si="36"/>
        <v>女</v>
      </c>
      <c r="F136" s="5">
        <v>76.864</v>
      </c>
      <c r="G136" s="4"/>
      <c r="K136" s="7"/>
    </row>
    <row r="137" s="1" customFormat="1" ht="23" customHeight="1" spans="1:11">
      <c r="A137" s="4">
        <v>135</v>
      </c>
      <c r="B137" s="4" t="str">
        <f>"20090415806"</f>
        <v>20090415806</v>
      </c>
      <c r="C137" s="4" t="str">
        <f t="shared" si="37"/>
        <v>2009</v>
      </c>
      <c r="D137" s="4" t="str">
        <f>"杨兵"</f>
        <v>杨兵</v>
      </c>
      <c r="E137" s="4" t="str">
        <f t="shared" si="36"/>
        <v>女</v>
      </c>
      <c r="F137" s="5">
        <v>76.632</v>
      </c>
      <c r="G137" s="4"/>
      <c r="K137" s="7"/>
    </row>
    <row r="138" s="1" customFormat="1" ht="23" customHeight="1" spans="1:11">
      <c r="A138" s="4">
        <v>136</v>
      </c>
      <c r="B138" s="4" t="str">
        <f>"20090415718"</f>
        <v>20090415718</v>
      </c>
      <c r="C138" s="4" t="str">
        <f t="shared" si="37"/>
        <v>2009</v>
      </c>
      <c r="D138" s="4" t="str">
        <f>"张黎明"</f>
        <v>张黎明</v>
      </c>
      <c r="E138" s="4" t="str">
        <f t="shared" ref="E138:E143" si="38">"男"</f>
        <v>男</v>
      </c>
      <c r="F138" s="5">
        <v>76.388</v>
      </c>
      <c r="G138" s="4"/>
      <c r="K138" s="7"/>
    </row>
    <row r="139" s="1" customFormat="1" ht="23" customHeight="1" spans="1:11">
      <c r="A139" s="4">
        <v>137</v>
      </c>
      <c r="B139" s="4" t="str">
        <f>"20090415723"</f>
        <v>20090415723</v>
      </c>
      <c r="C139" s="4" t="str">
        <f t="shared" si="37"/>
        <v>2009</v>
      </c>
      <c r="D139" s="4" t="str">
        <f>"褚云燕"</f>
        <v>褚云燕</v>
      </c>
      <c r="E139" s="4" t="str">
        <f t="shared" ref="E139:E141" si="39">"女"</f>
        <v>女</v>
      </c>
      <c r="F139" s="5">
        <v>76.26</v>
      </c>
      <c r="G139" s="4"/>
      <c r="K139" s="7"/>
    </row>
    <row r="140" s="1" customFormat="1" ht="23" customHeight="1" spans="1:11">
      <c r="A140" s="4">
        <v>138</v>
      </c>
      <c r="B140" s="4" t="str">
        <f>"20090415730"</f>
        <v>20090415730</v>
      </c>
      <c r="C140" s="4" t="str">
        <f t="shared" si="37"/>
        <v>2009</v>
      </c>
      <c r="D140" s="4" t="str">
        <f>"李昭杰"</f>
        <v>李昭杰</v>
      </c>
      <c r="E140" s="4" t="str">
        <f t="shared" si="39"/>
        <v>女</v>
      </c>
      <c r="F140" s="5">
        <v>75.084</v>
      </c>
      <c r="G140" s="4"/>
      <c r="K140" s="7"/>
    </row>
    <row r="141" s="1" customFormat="1" ht="23" customHeight="1" spans="1:11">
      <c r="A141" s="4">
        <v>139</v>
      </c>
      <c r="B141" s="4" t="str">
        <f>"20100415905"</f>
        <v>20100415905</v>
      </c>
      <c r="C141" s="4" t="str">
        <f t="shared" ref="C141:C145" si="40">"2010"</f>
        <v>2010</v>
      </c>
      <c r="D141" s="4" t="str">
        <f>"刘淼"</f>
        <v>刘淼</v>
      </c>
      <c r="E141" s="4" t="str">
        <f t="shared" si="39"/>
        <v>女</v>
      </c>
      <c r="F141" s="5">
        <v>77.556</v>
      </c>
      <c r="G141" s="4"/>
      <c r="K141" s="7"/>
    </row>
    <row r="142" s="1" customFormat="1" ht="23" customHeight="1" spans="1:11">
      <c r="A142" s="4">
        <v>140</v>
      </c>
      <c r="B142" s="4" t="str">
        <f>"20100416122"</f>
        <v>20100416122</v>
      </c>
      <c r="C142" s="4" t="str">
        <f t="shared" si="40"/>
        <v>2010</v>
      </c>
      <c r="D142" s="4" t="str">
        <f>"王栋"</f>
        <v>王栋</v>
      </c>
      <c r="E142" s="4" t="str">
        <f t="shared" si="38"/>
        <v>男</v>
      </c>
      <c r="F142" s="5">
        <v>77.152</v>
      </c>
      <c r="G142" s="4"/>
      <c r="K142" s="7"/>
    </row>
    <row r="143" s="1" customFormat="1" ht="23" customHeight="1" spans="1:11">
      <c r="A143" s="4">
        <v>141</v>
      </c>
      <c r="B143" s="4" t="str">
        <f>"20100415920"</f>
        <v>20100415920</v>
      </c>
      <c r="C143" s="4" t="str">
        <f t="shared" si="40"/>
        <v>2010</v>
      </c>
      <c r="D143" s="4" t="str">
        <f>"狄士楠"</f>
        <v>狄士楠</v>
      </c>
      <c r="E143" s="4" t="str">
        <f t="shared" si="38"/>
        <v>男</v>
      </c>
      <c r="F143" s="5">
        <v>76.144</v>
      </c>
      <c r="G143" s="4"/>
      <c r="K143" s="7"/>
    </row>
    <row r="144" s="1" customFormat="1" ht="23" customHeight="1" spans="1:11">
      <c r="A144" s="4">
        <v>142</v>
      </c>
      <c r="B144" s="4" t="str">
        <f>"20100416021"</f>
        <v>20100416021</v>
      </c>
      <c r="C144" s="4" t="str">
        <f t="shared" si="40"/>
        <v>2010</v>
      </c>
      <c r="D144" s="4" t="str">
        <f>"余阳"</f>
        <v>余阳</v>
      </c>
      <c r="E144" s="4" t="str">
        <f t="shared" ref="E144:E176" si="41">"女"</f>
        <v>女</v>
      </c>
      <c r="F144" s="5">
        <v>75.932</v>
      </c>
      <c r="G144" s="4"/>
      <c r="K144" s="7"/>
    </row>
    <row r="145" s="1" customFormat="1" ht="23" customHeight="1" spans="1:11">
      <c r="A145" s="4">
        <v>143</v>
      </c>
      <c r="B145" s="4" t="str">
        <f>"20100416111"</f>
        <v>20100416111</v>
      </c>
      <c r="C145" s="4" t="str">
        <f t="shared" si="40"/>
        <v>2010</v>
      </c>
      <c r="D145" s="4" t="str">
        <f>"崔欢欢"</f>
        <v>崔欢欢</v>
      </c>
      <c r="E145" s="4" t="str">
        <f t="shared" si="41"/>
        <v>女</v>
      </c>
      <c r="F145" s="5">
        <v>75.928</v>
      </c>
      <c r="G145" s="4"/>
      <c r="K145" s="7"/>
    </row>
    <row r="146" s="1" customFormat="1" ht="23" customHeight="1" spans="1:11">
      <c r="A146" s="4">
        <v>144</v>
      </c>
      <c r="B146" s="4" t="str">
        <f>"20110516326"</f>
        <v>20110516326</v>
      </c>
      <c r="C146" s="4" t="str">
        <f>"2011"</f>
        <v>2011</v>
      </c>
      <c r="D146" s="4" t="str">
        <f>"陈焱慧"</f>
        <v>陈焱慧</v>
      </c>
      <c r="E146" s="4" t="str">
        <f t="shared" si="41"/>
        <v>女</v>
      </c>
      <c r="F146" s="5">
        <v>77</v>
      </c>
      <c r="G146" s="4"/>
      <c r="K146" s="7"/>
    </row>
    <row r="147" s="1" customFormat="1" ht="23" customHeight="1" spans="1:11">
      <c r="A147" s="4">
        <v>145</v>
      </c>
      <c r="B147" s="4" t="str">
        <f>"20110516315"</f>
        <v>20110516315</v>
      </c>
      <c r="C147" s="4" t="str">
        <f>"2011"</f>
        <v>2011</v>
      </c>
      <c r="D147" s="4" t="str">
        <f>"王佳佳"</f>
        <v>王佳佳</v>
      </c>
      <c r="E147" s="4" t="str">
        <f t="shared" si="41"/>
        <v>女</v>
      </c>
      <c r="F147" s="5">
        <v>76.12</v>
      </c>
      <c r="G147" s="4"/>
      <c r="K147" s="7"/>
    </row>
    <row r="148" s="1" customFormat="1" ht="23" customHeight="1" spans="1:11">
      <c r="A148" s="4">
        <v>146</v>
      </c>
      <c r="B148" s="4" t="str">
        <f>"20120516608"</f>
        <v>20120516608</v>
      </c>
      <c r="C148" s="4" t="str">
        <f>"2012"</f>
        <v>2012</v>
      </c>
      <c r="D148" s="4" t="str">
        <f>"杨欣"</f>
        <v>杨欣</v>
      </c>
      <c r="E148" s="4" t="str">
        <f t="shared" si="41"/>
        <v>女</v>
      </c>
      <c r="F148" s="5">
        <v>80.124</v>
      </c>
      <c r="G148" s="4"/>
      <c r="K148" s="7"/>
    </row>
    <row r="149" s="1" customFormat="1" ht="23" customHeight="1" spans="1:11">
      <c r="A149" s="4">
        <v>147</v>
      </c>
      <c r="B149" s="4" t="str">
        <f>"20120516804"</f>
        <v>20120516804</v>
      </c>
      <c r="C149" s="4" t="str">
        <f>"2012"</f>
        <v>2012</v>
      </c>
      <c r="D149" s="4" t="str">
        <f>"张姣姣"</f>
        <v>张姣姣</v>
      </c>
      <c r="E149" s="4" t="str">
        <f t="shared" si="41"/>
        <v>女</v>
      </c>
      <c r="F149" s="5">
        <v>77.952</v>
      </c>
      <c r="G149" s="4"/>
      <c r="K149" s="7"/>
    </row>
    <row r="150" s="1" customFormat="1" ht="23" customHeight="1" spans="1:11">
      <c r="A150" s="4">
        <v>148</v>
      </c>
      <c r="B150" s="4" t="str">
        <f>"20130517012"</f>
        <v>20130517012</v>
      </c>
      <c r="C150" s="4" t="str">
        <f t="shared" ref="C150:C152" si="42">"2013"</f>
        <v>2013</v>
      </c>
      <c r="D150" s="4" t="str">
        <f>"王森"</f>
        <v>王森</v>
      </c>
      <c r="E150" s="4" t="str">
        <f t="shared" si="41"/>
        <v>女</v>
      </c>
      <c r="F150" s="5">
        <v>80.752</v>
      </c>
      <c r="G150" s="4"/>
      <c r="K150" s="7"/>
    </row>
    <row r="151" s="1" customFormat="1" ht="23" customHeight="1" spans="1:11">
      <c r="A151" s="4">
        <v>149</v>
      </c>
      <c r="B151" s="4" t="str">
        <f>"20130517003"</f>
        <v>20130517003</v>
      </c>
      <c r="C151" s="4" t="str">
        <f t="shared" si="42"/>
        <v>2013</v>
      </c>
      <c r="D151" s="4" t="str">
        <f>"谢藤"</f>
        <v>谢藤</v>
      </c>
      <c r="E151" s="4" t="str">
        <f t="shared" si="41"/>
        <v>女</v>
      </c>
      <c r="F151" s="5">
        <v>80.384</v>
      </c>
      <c r="G151" s="4"/>
      <c r="K151" s="7"/>
    </row>
    <row r="152" s="1" customFormat="1" ht="23" customHeight="1" spans="1:11">
      <c r="A152" s="4">
        <v>150</v>
      </c>
      <c r="B152" s="4" t="str">
        <f>"20130516919"</f>
        <v>20130516919</v>
      </c>
      <c r="C152" s="4" t="str">
        <f t="shared" si="42"/>
        <v>2013</v>
      </c>
      <c r="D152" s="4" t="str">
        <f>"张娟"</f>
        <v>张娟</v>
      </c>
      <c r="E152" s="4" t="str">
        <f t="shared" si="41"/>
        <v>女</v>
      </c>
      <c r="F152" s="5">
        <v>79.004</v>
      </c>
      <c r="G152" s="4"/>
      <c r="K152" s="7"/>
    </row>
    <row r="153" s="1" customFormat="1" ht="23" customHeight="1" spans="1:11">
      <c r="A153" s="4">
        <v>151</v>
      </c>
      <c r="B153" s="4" t="str">
        <f>"30010517820"</f>
        <v>30010517820</v>
      </c>
      <c r="C153" s="4" t="str">
        <f t="shared" ref="C153:C158" si="43">"3001"</f>
        <v>3001</v>
      </c>
      <c r="D153" s="4" t="str">
        <f>"乔露"</f>
        <v>乔露</v>
      </c>
      <c r="E153" s="4" t="str">
        <f t="shared" si="41"/>
        <v>女</v>
      </c>
      <c r="F153" s="5">
        <v>80.14</v>
      </c>
      <c r="G153" s="4"/>
      <c r="K153" s="7"/>
    </row>
    <row r="154" s="1" customFormat="1" ht="23" customHeight="1" spans="1:11">
      <c r="A154" s="4">
        <v>152</v>
      </c>
      <c r="B154" s="4" t="str">
        <f>"30010517914"</f>
        <v>30010517914</v>
      </c>
      <c r="C154" s="4" t="str">
        <f t="shared" si="43"/>
        <v>3001</v>
      </c>
      <c r="D154" s="4" t="str">
        <f>"何一桓"</f>
        <v>何一桓</v>
      </c>
      <c r="E154" s="4" t="str">
        <f t="shared" si="41"/>
        <v>女</v>
      </c>
      <c r="F154" s="5">
        <v>80.112</v>
      </c>
      <c r="G154" s="4"/>
      <c r="K154" s="7"/>
    </row>
    <row r="155" s="1" customFormat="1" ht="23" customHeight="1" spans="1:11">
      <c r="A155" s="4">
        <v>153</v>
      </c>
      <c r="B155" s="4" t="str">
        <f>"30010517716"</f>
        <v>30010517716</v>
      </c>
      <c r="C155" s="4" t="str">
        <f t="shared" si="43"/>
        <v>3001</v>
      </c>
      <c r="D155" s="4" t="str">
        <f>"郑弦"</f>
        <v>郑弦</v>
      </c>
      <c r="E155" s="4" t="str">
        <f t="shared" si="41"/>
        <v>女</v>
      </c>
      <c r="F155" s="5">
        <v>79.268</v>
      </c>
      <c r="G155" s="4"/>
      <c r="K155" s="7"/>
    </row>
    <row r="156" s="1" customFormat="1" ht="23" customHeight="1" spans="1:11">
      <c r="A156" s="4">
        <v>154</v>
      </c>
      <c r="B156" s="4" t="str">
        <f>"30010518404"</f>
        <v>30010518404</v>
      </c>
      <c r="C156" s="4" t="str">
        <f t="shared" si="43"/>
        <v>3001</v>
      </c>
      <c r="D156" s="4" t="str">
        <f>"袁玥华"</f>
        <v>袁玥华</v>
      </c>
      <c r="E156" s="4" t="str">
        <f t="shared" si="41"/>
        <v>女</v>
      </c>
      <c r="F156" s="5">
        <v>79.116</v>
      </c>
      <c r="G156" s="4"/>
      <c r="K156" s="7"/>
    </row>
    <row r="157" s="1" customFormat="1" ht="23" customHeight="1" spans="1:11">
      <c r="A157" s="4">
        <v>155</v>
      </c>
      <c r="B157" s="4" t="str">
        <f>"30010517306"</f>
        <v>30010517306</v>
      </c>
      <c r="C157" s="4" t="str">
        <f t="shared" si="43"/>
        <v>3001</v>
      </c>
      <c r="D157" s="4" t="str">
        <f>"薛倪"</f>
        <v>薛倪</v>
      </c>
      <c r="E157" s="4" t="str">
        <f t="shared" si="41"/>
        <v>女</v>
      </c>
      <c r="F157" s="5">
        <v>78.728</v>
      </c>
      <c r="G157" s="4"/>
      <c r="K157" s="7"/>
    </row>
    <row r="158" s="1" customFormat="1" ht="23" customHeight="1" spans="1:11">
      <c r="A158" s="4">
        <v>156</v>
      </c>
      <c r="B158" s="4" t="str">
        <f>"30010518502"</f>
        <v>30010518502</v>
      </c>
      <c r="C158" s="4" t="str">
        <f t="shared" si="43"/>
        <v>3001</v>
      </c>
      <c r="D158" s="4" t="str">
        <f>"张瑞敏"</f>
        <v>张瑞敏</v>
      </c>
      <c r="E158" s="4" t="str">
        <f t="shared" si="41"/>
        <v>女</v>
      </c>
      <c r="F158" s="5">
        <v>78.6</v>
      </c>
      <c r="G158" s="4"/>
      <c r="K158" s="7"/>
    </row>
    <row r="159" s="1" customFormat="1" ht="23" customHeight="1" spans="1:11">
      <c r="A159" s="4">
        <v>157</v>
      </c>
      <c r="B159" s="4" t="str">
        <f>"30020519315"</f>
        <v>30020519315</v>
      </c>
      <c r="C159" s="4" t="str">
        <f t="shared" ref="C159:C164" si="44">"3002"</f>
        <v>3002</v>
      </c>
      <c r="D159" s="4" t="str">
        <f>"王姣姣"</f>
        <v>王姣姣</v>
      </c>
      <c r="E159" s="4" t="str">
        <f t="shared" si="41"/>
        <v>女</v>
      </c>
      <c r="F159" s="5">
        <v>79.896</v>
      </c>
      <c r="G159" s="4"/>
      <c r="K159" s="7"/>
    </row>
    <row r="160" s="1" customFormat="1" ht="23" customHeight="1" spans="1:11">
      <c r="A160" s="4">
        <v>158</v>
      </c>
      <c r="B160" s="4" t="str">
        <f>"30020519110"</f>
        <v>30020519110</v>
      </c>
      <c r="C160" s="4" t="str">
        <f t="shared" si="44"/>
        <v>3002</v>
      </c>
      <c r="D160" s="4" t="str">
        <f>"吴子靖"</f>
        <v>吴子靖</v>
      </c>
      <c r="E160" s="4" t="str">
        <f t="shared" si="41"/>
        <v>女</v>
      </c>
      <c r="F160" s="5">
        <v>79.412</v>
      </c>
      <c r="G160" s="4"/>
      <c r="K160" s="7"/>
    </row>
    <row r="161" s="1" customFormat="1" ht="23" customHeight="1" spans="1:11">
      <c r="A161" s="4">
        <v>159</v>
      </c>
      <c r="B161" s="4" t="str">
        <f>"30020519219"</f>
        <v>30020519219</v>
      </c>
      <c r="C161" s="4" t="str">
        <f t="shared" si="44"/>
        <v>3002</v>
      </c>
      <c r="D161" s="4" t="str">
        <f>"司尚景"</f>
        <v>司尚景</v>
      </c>
      <c r="E161" s="4" t="str">
        <f t="shared" si="41"/>
        <v>女</v>
      </c>
      <c r="F161" s="5">
        <v>79.248</v>
      </c>
      <c r="G161" s="4"/>
      <c r="K161" s="7"/>
    </row>
    <row r="162" s="1" customFormat="1" ht="23" customHeight="1" spans="1:11">
      <c r="A162" s="4">
        <v>160</v>
      </c>
      <c r="B162" s="4" t="str">
        <f>"30020518630"</f>
        <v>30020518630</v>
      </c>
      <c r="C162" s="4" t="str">
        <f t="shared" si="44"/>
        <v>3002</v>
      </c>
      <c r="D162" s="4" t="str">
        <f>"谢琪玉"</f>
        <v>谢琪玉</v>
      </c>
      <c r="E162" s="4" t="str">
        <f t="shared" si="41"/>
        <v>女</v>
      </c>
      <c r="F162" s="5">
        <v>79.108</v>
      </c>
      <c r="G162" s="4"/>
      <c r="K162" s="7"/>
    </row>
    <row r="163" s="1" customFormat="1" ht="23" customHeight="1" spans="1:11">
      <c r="A163" s="4">
        <v>161</v>
      </c>
      <c r="B163" s="4" t="str">
        <f>"30020518521"</f>
        <v>30020518521</v>
      </c>
      <c r="C163" s="4" t="str">
        <f t="shared" si="44"/>
        <v>3002</v>
      </c>
      <c r="D163" s="4" t="str">
        <f>"仵倩"</f>
        <v>仵倩</v>
      </c>
      <c r="E163" s="4" t="str">
        <f t="shared" si="41"/>
        <v>女</v>
      </c>
      <c r="F163" s="5">
        <v>78.624</v>
      </c>
      <c r="G163" s="4"/>
      <c r="K163" s="7"/>
    </row>
    <row r="164" s="1" customFormat="1" ht="23" customHeight="1" spans="1:11">
      <c r="A164" s="4">
        <v>162</v>
      </c>
      <c r="B164" s="4" t="str">
        <f>"30020519015"</f>
        <v>30020519015</v>
      </c>
      <c r="C164" s="4" t="str">
        <f t="shared" si="44"/>
        <v>3002</v>
      </c>
      <c r="D164" s="4" t="str">
        <f>"张玉娥"</f>
        <v>张玉娥</v>
      </c>
      <c r="E164" s="4" t="str">
        <f t="shared" si="41"/>
        <v>女</v>
      </c>
      <c r="F164" s="5">
        <v>78.616</v>
      </c>
      <c r="G164" s="4"/>
      <c r="K164" s="7"/>
    </row>
    <row r="165" s="1" customFormat="1" ht="23" customHeight="1" spans="1:11">
      <c r="A165" s="4">
        <v>163</v>
      </c>
      <c r="B165" s="4" t="str">
        <f>"30030620321"</f>
        <v>30030620321</v>
      </c>
      <c r="C165" s="4" t="str">
        <f t="shared" ref="C165:C170" si="45">"3003"</f>
        <v>3003</v>
      </c>
      <c r="D165" s="4" t="str">
        <f>"赵梦卓"</f>
        <v>赵梦卓</v>
      </c>
      <c r="E165" s="4" t="str">
        <f t="shared" si="41"/>
        <v>女</v>
      </c>
      <c r="F165" s="5">
        <v>80.448</v>
      </c>
      <c r="G165" s="4"/>
      <c r="K165" s="7"/>
    </row>
    <row r="166" s="1" customFormat="1" ht="23" customHeight="1" spans="1:11">
      <c r="A166" s="4">
        <v>164</v>
      </c>
      <c r="B166" s="4" t="str">
        <f>"30030620404"</f>
        <v>30030620404</v>
      </c>
      <c r="C166" s="4" t="str">
        <f t="shared" si="45"/>
        <v>3003</v>
      </c>
      <c r="D166" s="4" t="str">
        <f>"许慧洋"</f>
        <v>许慧洋</v>
      </c>
      <c r="E166" s="4" t="str">
        <f t="shared" si="41"/>
        <v>女</v>
      </c>
      <c r="F166" s="5">
        <v>79.916</v>
      </c>
      <c r="G166" s="4"/>
      <c r="K166" s="7"/>
    </row>
    <row r="167" s="1" customFormat="1" ht="23" customHeight="1" spans="1:11">
      <c r="A167" s="4">
        <v>165</v>
      </c>
      <c r="B167" s="4" t="str">
        <f>"30030620407"</f>
        <v>30030620407</v>
      </c>
      <c r="C167" s="4" t="str">
        <f t="shared" si="45"/>
        <v>3003</v>
      </c>
      <c r="D167" s="4" t="str">
        <f>"侯玉婷"</f>
        <v>侯玉婷</v>
      </c>
      <c r="E167" s="4" t="str">
        <f t="shared" si="41"/>
        <v>女</v>
      </c>
      <c r="F167" s="5">
        <v>79.428</v>
      </c>
      <c r="G167" s="4"/>
      <c r="K167" s="7"/>
    </row>
    <row r="168" s="1" customFormat="1" ht="23" customHeight="1" spans="1:11">
      <c r="A168" s="4">
        <v>166</v>
      </c>
      <c r="B168" s="4" t="str">
        <f>"30030619929"</f>
        <v>30030619929</v>
      </c>
      <c r="C168" s="4" t="str">
        <f t="shared" si="45"/>
        <v>3003</v>
      </c>
      <c r="D168" s="4" t="str">
        <f>"张琳丛"</f>
        <v>张琳丛</v>
      </c>
      <c r="E168" s="4" t="str">
        <f t="shared" si="41"/>
        <v>女</v>
      </c>
      <c r="F168" s="5">
        <v>79.18</v>
      </c>
      <c r="G168" s="4"/>
      <c r="K168" s="7"/>
    </row>
    <row r="169" s="1" customFormat="1" ht="23" customHeight="1" spans="1:11">
      <c r="A169" s="4">
        <v>167</v>
      </c>
      <c r="B169" s="4" t="str">
        <f>"30030620101"</f>
        <v>30030620101</v>
      </c>
      <c r="C169" s="4" t="str">
        <f t="shared" si="45"/>
        <v>3003</v>
      </c>
      <c r="D169" s="4" t="str">
        <f>"司宇鹏"</f>
        <v>司宇鹏</v>
      </c>
      <c r="E169" s="4" t="str">
        <f t="shared" si="41"/>
        <v>女</v>
      </c>
      <c r="F169" s="5">
        <v>79.016</v>
      </c>
      <c r="G169" s="4"/>
      <c r="K169" s="7"/>
    </row>
    <row r="170" s="1" customFormat="1" ht="23" customHeight="1" spans="1:11">
      <c r="A170" s="4">
        <v>168</v>
      </c>
      <c r="B170" s="4" t="str">
        <f>"30030620327"</f>
        <v>30030620327</v>
      </c>
      <c r="C170" s="4" t="str">
        <f t="shared" si="45"/>
        <v>3003</v>
      </c>
      <c r="D170" s="4" t="str">
        <f>"唐雪梅"</f>
        <v>唐雪梅</v>
      </c>
      <c r="E170" s="4" t="str">
        <f t="shared" si="41"/>
        <v>女</v>
      </c>
      <c r="F170" s="5">
        <v>78.956</v>
      </c>
      <c r="G170" s="4"/>
      <c r="K170" s="7"/>
    </row>
    <row r="171" s="1" customFormat="1" ht="23" customHeight="1" spans="1:11">
      <c r="A171" s="4">
        <v>169</v>
      </c>
      <c r="B171" s="4" t="str">
        <f>"30040620707"</f>
        <v>30040620707</v>
      </c>
      <c r="C171" s="4" t="str">
        <f t="shared" ref="C171:C176" si="46">"3004"</f>
        <v>3004</v>
      </c>
      <c r="D171" s="4" t="str">
        <f>"许梦园"</f>
        <v>许梦园</v>
      </c>
      <c r="E171" s="4" t="str">
        <f t="shared" si="41"/>
        <v>女</v>
      </c>
      <c r="F171" s="5">
        <v>79.536</v>
      </c>
      <c r="G171" s="4"/>
      <c r="K171" s="7"/>
    </row>
    <row r="172" s="1" customFormat="1" ht="23" customHeight="1" spans="1:11">
      <c r="A172" s="4">
        <v>170</v>
      </c>
      <c r="B172" s="4" t="str">
        <f>"30040620629"</f>
        <v>30040620629</v>
      </c>
      <c r="C172" s="4" t="str">
        <f t="shared" si="46"/>
        <v>3004</v>
      </c>
      <c r="D172" s="4" t="str">
        <f>"李欢"</f>
        <v>李欢</v>
      </c>
      <c r="E172" s="4" t="str">
        <f t="shared" si="41"/>
        <v>女</v>
      </c>
      <c r="F172" s="5">
        <v>77.484</v>
      </c>
      <c r="G172" s="4"/>
      <c r="K172" s="7"/>
    </row>
    <row r="173" s="1" customFormat="1" ht="23" customHeight="1" spans="1:11">
      <c r="A173" s="4">
        <v>171</v>
      </c>
      <c r="B173" s="4" t="str">
        <f>"30040620628"</f>
        <v>30040620628</v>
      </c>
      <c r="C173" s="4" t="str">
        <f t="shared" si="46"/>
        <v>3004</v>
      </c>
      <c r="D173" s="4" t="str">
        <f>"张薇"</f>
        <v>张薇</v>
      </c>
      <c r="E173" s="4" t="str">
        <f t="shared" si="41"/>
        <v>女</v>
      </c>
      <c r="F173" s="5">
        <v>76.524</v>
      </c>
      <c r="G173" s="4"/>
      <c r="K173" s="7"/>
    </row>
    <row r="174" s="1" customFormat="1" ht="23" customHeight="1" spans="1:11">
      <c r="A174" s="4">
        <v>172</v>
      </c>
      <c r="B174" s="4" t="str">
        <f>"30040620608"</f>
        <v>30040620608</v>
      </c>
      <c r="C174" s="4" t="str">
        <f t="shared" si="46"/>
        <v>3004</v>
      </c>
      <c r="D174" s="4" t="str">
        <f>"库满"</f>
        <v>库满</v>
      </c>
      <c r="E174" s="4" t="str">
        <f t="shared" si="41"/>
        <v>女</v>
      </c>
      <c r="F174" s="5">
        <v>76.304</v>
      </c>
      <c r="G174" s="4"/>
      <c r="K174" s="7"/>
    </row>
    <row r="175" s="1" customFormat="1" ht="23" customHeight="1" spans="1:11">
      <c r="A175" s="4">
        <v>173</v>
      </c>
      <c r="B175" s="4" t="str">
        <f>"30040620611"</f>
        <v>30040620611</v>
      </c>
      <c r="C175" s="4" t="str">
        <f t="shared" si="46"/>
        <v>3004</v>
      </c>
      <c r="D175" s="4" t="str">
        <f>"赵雪航"</f>
        <v>赵雪航</v>
      </c>
      <c r="E175" s="4" t="str">
        <f t="shared" si="41"/>
        <v>女</v>
      </c>
      <c r="F175" s="5">
        <v>76.272</v>
      </c>
      <c r="G175" s="4"/>
      <c r="K175" s="7"/>
    </row>
    <row r="176" s="1" customFormat="1" ht="23" customHeight="1" spans="1:11">
      <c r="A176" s="4">
        <v>174</v>
      </c>
      <c r="B176" s="4" t="str">
        <f>"30040620604"</f>
        <v>30040620604</v>
      </c>
      <c r="C176" s="4" t="str">
        <f t="shared" si="46"/>
        <v>3004</v>
      </c>
      <c r="D176" s="4" t="str">
        <f>"胡玉璞"</f>
        <v>胡玉璞</v>
      </c>
      <c r="E176" s="4" t="str">
        <f t="shared" si="41"/>
        <v>女</v>
      </c>
      <c r="F176" s="5">
        <v>75.936</v>
      </c>
      <c r="G176" s="4"/>
      <c r="K176" s="7"/>
    </row>
    <row r="177" s="1" customFormat="1" ht="23" customHeight="1" spans="1:11">
      <c r="A177" s="4">
        <v>175</v>
      </c>
      <c r="B177" s="4" t="str">
        <f>"30050620914"</f>
        <v>30050620914</v>
      </c>
      <c r="C177" s="4" t="str">
        <f t="shared" ref="C177:C181" si="47">"3005"</f>
        <v>3005</v>
      </c>
      <c r="D177" s="4" t="str">
        <f>"冯一鸣"</f>
        <v>冯一鸣</v>
      </c>
      <c r="E177" s="4" t="str">
        <f>"男"</f>
        <v>男</v>
      </c>
      <c r="F177" s="5">
        <v>78.988</v>
      </c>
      <c r="G177" s="4"/>
      <c r="K177" s="7"/>
    </row>
    <row r="178" s="1" customFormat="1" ht="23" customHeight="1" spans="1:11">
      <c r="A178" s="4">
        <v>176</v>
      </c>
      <c r="B178" s="4" t="str">
        <f>"30050620804"</f>
        <v>30050620804</v>
      </c>
      <c r="C178" s="4" t="str">
        <f t="shared" si="47"/>
        <v>3005</v>
      </c>
      <c r="D178" s="4" t="str">
        <f>"张晗"</f>
        <v>张晗</v>
      </c>
      <c r="E178" s="4" t="str">
        <f t="shared" ref="E178:E192" si="48">"女"</f>
        <v>女</v>
      </c>
      <c r="F178" s="5">
        <v>77.044</v>
      </c>
      <c r="G178" s="4"/>
      <c r="K178" s="7"/>
    </row>
    <row r="179" s="1" customFormat="1" ht="23" customHeight="1" spans="1:11">
      <c r="A179" s="4">
        <v>177</v>
      </c>
      <c r="B179" s="4" t="str">
        <f>"30050620920"</f>
        <v>30050620920</v>
      </c>
      <c r="C179" s="4" t="str">
        <f t="shared" si="47"/>
        <v>3005</v>
      </c>
      <c r="D179" s="4" t="str">
        <f>"姚伟丽"</f>
        <v>姚伟丽</v>
      </c>
      <c r="E179" s="4" t="str">
        <f t="shared" si="48"/>
        <v>女</v>
      </c>
      <c r="F179" s="5">
        <v>76.992</v>
      </c>
      <c r="G179" s="4"/>
      <c r="K179" s="7"/>
    </row>
    <row r="180" s="1" customFormat="1" ht="23" customHeight="1" spans="1:11">
      <c r="A180" s="4">
        <v>178</v>
      </c>
      <c r="B180" s="4" t="str">
        <f>"30050620727"</f>
        <v>30050620727</v>
      </c>
      <c r="C180" s="4" t="str">
        <f t="shared" si="47"/>
        <v>3005</v>
      </c>
      <c r="D180" s="4" t="str">
        <f>"彭飞立"</f>
        <v>彭飞立</v>
      </c>
      <c r="E180" s="4" t="str">
        <f>"男"</f>
        <v>男</v>
      </c>
      <c r="F180" s="5">
        <v>76.336</v>
      </c>
      <c r="G180" s="4"/>
      <c r="K180" s="7"/>
    </row>
    <row r="181" s="1" customFormat="1" ht="23" customHeight="1" spans="1:11">
      <c r="A181" s="4">
        <v>179</v>
      </c>
      <c r="B181" s="4" t="str">
        <f>"30050620809"</f>
        <v>30050620809</v>
      </c>
      <c r="C181" s="4" t="str">
        <f t="shared" si="47"/>
        <v>3005</v>
      </c>
      <c r="D181" s="4" t="str">
        <f>"刘灿"</f>
        <v>刘灿</v>
      </c>
      <c r="E181" s="4" t="str">
        <f t="shared" si="48"/>
        <v>女</v>
      </c>
      <c r="F181" s="5">
        <v>76.184</v>
      </c>
      <c r="G181" s="4"/>
      <c r="K181" s="7"/>
    </row>
    <row r="182" s="1" customFormat="1" ht="23" customHeight="1" spans="1:11">
      <c r="A182" s="4">
        <v>180</v>
      </c>
      <c r="B182" s="4" t="str">
        <f>"30060621007"</f>
        <v>30060621007</v>
      </c>
      <c r="C182" s="4" t="str">
        <f t="shared" ref="C182:C186" si="49">"3006"</f>
        <v>3006</v>
      </c>
      <c r="D182" s="4" t="str">
        <f>"王安妮"</f>
        <v>王安妮</v>
      </c>
      <c r="E182" s="4" t="str">
        <f t="shared" si="48"/>
        <v>女</v>
      </c>
      <c r="F182" s="5">
        <v>79.484</v>
      </c>
      <c r="G182" s="4"/>
      <c r="K182" s="7"/>
    </row>
    <row r="183" s="1" customFormat="1" ht="23" customHeight="1" spans="1:11">
      <c r="A183" s="4">
        <v>181</v>
      </c>
      <c r="B183" s="4" t="str">
        <f>"30060621105"</f>
        <v>30060621105</v>
      </c>
      <c r="C183" s="4" t="str">
        <f t="shared" si="49"/>
        <v>3006</v>
      </c>
      <c r="D183" s="4" t="str">
        <f>"丁姗姗"</f>
        <v>丁姗姗</v>
      </c>
      <c r="E183" s="4" t="str">
        <f t="shared" si="48"/>
        <v>女</v>
      </c>
      <c r="F183" s="5">
        <v>78.944</v>
      </c>
      <c r="G183" s="4"/>
      <c r="K183" s="7"/>
    </row>
    <row r="184" s="1" customFormat="1" ht="23" customHeight="1" spans="1:11">
      <c r="A184" s="4">
        <v>182</v>
      </c>
      <c r="B184" s="4" t="str">
        <f>"30060621009"</f>
        <v>30060621009</v>
      </c>
      <c r="C184" s="4" t="str">
        <f t="shared" si="49"/>
        <v>3006</v>
      </c>
      <c r="D184" s="4" t="str">
        <f>"侯满"</f>
        <v>侯满</v>
      </c>
      <c r="E184" s="4" t="str">
        <f t="shared" si="48"/>
        <v>女</v>
      </c>
      <c r="F184" s="5">
        <v>78.892</v>
      </c>
      <c r="G184" s="4"/>
      <c r="K184" s="7"/>
    </row>
    <row r="185" s="1" customFormat="1" ht="23" customHeight="1" spans="1:11">
      <c r="A185" s="4">
        <v>183</v>
      </c>
      <c r="B185" s="4" t="str">
        <f>"30060621205"</f>
        <v>30060621205</v>
      </c>
      <c r="C185" s="4" t="str">
        <f t="shared" si="49"/>
        <v>3006</v>
      </c>
      <c r="D185" s="4" t="str">
        <f>"黄小莹"</f>
        <v>黄小莹</v>
      </c>
      <c r="E185" s="4" t="str">
        <f t="shared" si="48"/>
        <v>女</v>
      </c>
      <c r="F185" s="5">
        <v>78.272</v>
      </c>
      <c r="G185" s="4"/>
      <c r="K185" s="7"/>
    </row>
    <row r="186" s="1" customFormat="1" ht="23" customHeight="1" spans="1:11">
      <c r="A186" s="4">
        <v>184</v>
      </c>
      <c r="B186" s="4" t="str">
        <f>"30060621022"</f>
        <v>30060621022</v>
      </c>
      <c r="C186" s="4" t="str">
        <f t="shared" si="49"/>
        <v>3006</v>
      </c>
      <c r="D186" s="4" t="str">
        <f>"梁雪琴"</f>
        <v>梁雪琴</v>
      </c>
      <c r="E186" s="4" t="str">
        <f t="shared" si="48"/>
        <v>女</v>
      </c>
      <c r="F186" s="5">
        <v>77.828</v>
      </c>
      <c r="G186" s="4"/>
      <c r="K186" s="7"/>
    </row>
    <row r="187" s="1" customFormat="1" ht="23" customHeight="1" spans="1:11">
      <c r="A187" s="4">
        <v>185</v>
      </c>
      <c r="B187" s="4" t="str">
        <f>"30070621430"</f>
        <v>30070621430</v>
      </c>
      <c r="C187" s="4" t="str">
        <f t="shared" ref="C187:C191" si="50">"3007"</f>
        <v>3007</v>
      </c>
      <c r="D187" s="4" t="str">
        <f>"肖雪"</f>
        <v>肖雪</v>
      </c>
      <c r="E187" s="4" t="str">
        <f t="shared" si="48"/>
        <v>女</v>
      </c>
      <c r="F187" s="5">
        <v>79.664</v>
      </c>
      <c r="G187" s="4"/>
      <c r="K187" s="7"/>
    </row>
    <row r="188" s="1" customFormat="1" ht="23" customHeight="1" spans="1:11">
      <c r="A188" s="4">
        <v>186</v>
      </c>
      <c r="B188" s="4" t="str">
        <f>"30070621418"</f>
        <v>30070621418</v>
      </c>
      <c r="C188" s="4" t="str">
        <f t="shared" si="50"/>
        <v>3007</v>
      </c>
      <c r="D188" s="4" t="str">
        <f>"王雯"</f>
        <v>王雯</v>
      </c>
      <c r="E188" s="4" t="str">
        <f t="shared" si="48"/>
        <v>女</v>
      </c>
      <c r="F188" s="5">
        <v>78.956</v>
      </c>
      <c r="G188" s="4"/>
      <c r="K188" s="7"/>
    </row>
    <row r="189" s="1" customFormat="1" ht="23" customHeight="1" spans="1:11">
      <c r="A189" s="4">
        <v>187</v>
      </c>
      <c r="B189" s="4" t="str">
        <f>"30070621407"</f>
        <v>30070621407</v>
      </c>
      <c r="C189" s="4" t="str">
        <f t="shared" si="50"/>
        <v>3007</v>
      </c>
      <c r="D189" s="4" t="str">
        <f>"杜春雨"</f>
        <v>杜春雨</v>
      </c>
      <c r="E189" s="4" t="str">
        <f t="shared" si="48"/>
        <v>女</v>
      </c>
      <c r="F189" s="5">
        <v>78.856</v>
      </c>
      <c r="G189" s="4"/>
      <c r="K189" s="7"/>
    </row>
    <row r="190" s="1" customFormat="1" ht="23" customHeight="1" spans="1:11">
      <c r="A190" s="4">
        <v>188</v>
      </c>
      <c r="B190" s="4" t="str">
        <f>"30070621302"</f>
        <v>30070621302</v>
      </c>
      <c r="C190" s="4" t="str">
        <f t="shared" si="50"/>
        <v>3007</v>
      </c>
      <c r="D190" s="4" t="str">
        <f>"彭乃珂"</f>
        <v>彭乃珂</v>
      </c>
      <c r="E190" s="4" t="str">
        <f t="shared" si="48"/>
        <v>女</v>
      </c>
      <c r="F190" s="5">
        <v>78.636</v>
      </c>
      <c r="G190" s="4"/>
      <c r="K190" s="7"/>
    </row>
    <row r="191" s="1" customFormat="1" ht="23" customHeight="1" spans="1:11">
      <c r="A191" s="4">
        <v>189</v>
      </c>
      <c r="B191" s="4" t="str">
        <f>"30070621215"</f>
        <v>30070621215</v>
      </c>
      <c r="C191" s="4" t="str">
        <f t="shared" si="50"/>
        <v>3007</v>
      </c>
      <c r="D191" s="4" t="str">
        <f>"张可鑫"</f>
        <v>张可鑫</v>
      </c>
      <c r="E191" s="4" t="str">
        <f t="shared" si="48"/>
        <v>女</v>
      </c>
      <c r="F191" s="5">
        <v>77.872</v>
      </c>
      <c r="G191" s="4"/>
      <c r="K191" s="7"/>
    </row>
    <row r="192" s="1" customFormat="1" ht="23" customHeight="1" spans="1:11">
      <c r="A192" s="4">
        <v>190</v>
      </c>
      <c r="B192" s="4" t="str">
        <f>"30080621720"</f>
        <v>30080621720</v>
      </c>
      <c r="C192" s="4" t="str">
        <f t="shared" ref="C192:C196" si="51">"3008"</f>
        <v>3008</v>
      </c>
      <c r="D192" s="4" t="str">
        <f>"丰璟"</f>
        <v>丰璟</v>
      </c>
      <c r="E192" s="4" t="str">
        <f t="shared" si="48"/>
        <v>女</v>
      </c>
      <c r="F192" s="5">
        <v>79.384</v>
      </c>
      <c r="G192" s="4"/>
      <c r="K192" s="7"/>
    </row>
    <row r="193" s="1" customFormat="1" ht="23" customHeight="1" spans="1:11">
      <c r="A193" s="4">
        <v>191</v>
      </c>
      <c r="B193" s="4" t="str">
        <f>"30080621627"</f>
        <v>30080621627</v>
      </c>
      <c r="C193" s="4" t="str">
        <f t="shared" si="51"/>
        <v>3008</v>
      </c>
      <c r="D193" s="4" t="str">
        <f>"韩洋"</f>
        <v>韩洋</v>
      </c>
      <c r="E193" s="4" t="str">
        <f>"男"</f>
        <v>男</v>
      </c>
      <c r="F193" s="5">
        <v>78.652</v>
      </c>
      <c r="G193" s="4"/>
      <c r="K193" s="7"/>
    </row>
    <row r="194" s="1" customFormat="1" ht="23" customHeight="1" spans="1:11">
      <c r="A194" s="4">
        <v>192</v>
      </c>
      <c r="B194" s="4" t="str">
        <f>"30080621527"</f>
        <v>30080621527</v>
      </c>
      <c r="C194" s="4" t="str">
        <f t="shared" si="51"/>
        <v>3008</v>
      </c>
      <c r="D194" s="4" t="str">
        <f>"胡娟"</f>
        <v>胡娟</v>
      </c>
      <c r="E194" s="4" t="str">
        <f t="shared" ref="E194:E197" si="52">"女"</f>
        <v>女</v>
      </c>
      <c r="F194" s="5">
        <v>78.188</v>
      </c>
      <c r="G194" s="4"/>
      <c r="K194" s="7"/>
    </row>
    <row r="195" s="1" customFormat="1" ht="23" customHeight="1" spans="1:11">
      <c r="A195" s="4">
        <v>193</v>
      </c>
      <c r="B195" s="4" t="str">
        <f>"30080621816"</f>
        <v>30080621816</v>
      </c>
      <c r="C195" s="4" t="str">
        <f t="shared" si="51"/>
        <v>3008</v>
      </c>
      <c r="D195" s="4" t="str">
        <f>"刘迎"</f>
        <v>刘迎</v>
      </c>
      <c r="E195" s="4" t="str">
        <f t="shared" si="52"/>
        <v>女</v>
      </c>
      <c r="F195" s="5">
        <v>77.38</v>
      </c>
      <c r="G195" s="4"/>
      <c r="K195" s="7"/>
    </row>
    <row r="196" s="1" customFormat="1" ht="23" customHeight="1" spans="1:11">
      <c r="A196" s="4">
        <v>194</v>
      </c>
      <c r="B196" s="4" t="str">
        <f>"30080621626"</f>
        <v>30080621626</v>
      </c>
      <c r="C196" s="4" t="str">
        <f t="shared" si="51"/>
        <v>3008</v>
      </c>
      <c r="D196" s="4" t="str">
        <f>"张雅兰"</f>
        <v>张雅兰</v>
      </c>
      <c r="E196" s="4" t="str">
        <f t="shared" si="52"/>
        <v>女</v>
      </c>
      <c r="F196" s="5">
        <v>77.356</v>
      </c>
      <c r="G196" s="4"/>
      <c r="K196" s="7"/>
    </row>
    <row r="197" s="1" customFormat="1" ht="23" customHeight="1" spans="1:11">
      <c r="A197" s="4">
        <v>195</v>
      </c>
      <c r="B197" s="4" t="str">
        <f>"30090621824"</f>
        <v>30090621824</v>
      </c>
      <c r="C197" s="4" t="str">
        <f t="shared" ref="C197:C201" si="53">"3009"</f>
        <v>3009</v>
      </c>
      <c r="D197" s="4" t="str">
        <f>"杨小垒"</f>
        <v>杨小垒</v>
      </c>
      <c r="E197" s="4" t="str">
        <f t="shared" si="52"/>
        <v>女</v>
      </c>
      <c r="F197" s="5">
        <v>77.532</v>
      </c>
      <c r="G197" s="4"/>
      <c r="K197" s="7"/>
    </row>
    <row r="198" s="1" customFormat="1" ht="23" customHeight="1" spans="1:11">
      <c r="A198" s="4">
        <v>196</v>
      </c>
      <c r="B198" s="4" t="str">
        <f>"30090621927"</f>
        <v>30090621927</v>
      </c>
      <c r="C198" s="4" t="str">
        <f t="shared" si="53"/>
        <v>3009</v>
      </c>
      <c r="D198" s="4" t="str">
        <f>"王林楠"</f>
        <v>王林楠</v>
      </c>
      <c r="E198" s="4" t="str">
        <f>"男"</f>
        <v>男</v>
      </c>
      <c r="F198" s="5">
        <v>77.156</v>
      </c>
      <c r="G198" s="4"/>
      <c r="K198" s="7"/>
    </row>
    <row r="199" s="1" customFormat="1" ht="23" customHeight="1" spans="1:11">
      <c r="A199" s="4">
        <v>197</v>
      </c>
      <c r="B199" s="4" t="str">
        <f>"30090621924"</f>
        <v>30090621924</v>
      </c>
      <c r="C199" s="4" t="str">
        <f t="shared" si="53"/>
        <v>3009</v>
      </c>
      <c r="D199" s="4" t="str">
        <f>"宋冰鑫"</f>
        <v>宋冰鑫</v>
      </c>
      <c r="E199" s="4" t="str">
        <f t="shared" ref="E199:E201" si="54">"女"</f>
        <v>女</v>
      </c>
      <c r="F199" s="5">
        <v>76.64</v>
      </c>
      <c r="G199" s="4"/>
      <c r="K199" s="7"/>
    </row>
    <row r="200" s="1" customFormat="1" ht="23" customHeight="1" spans="1:11">
      <c r="A200" s="4">
        <v>198</v>
      </c>
      <c r="B200" s="4" t="str">
        <f>"30090621904"</f>
        <v>30090621904</v>
      </c>
      <c r="C200" s="4" t="str">
        <f t="shared" si="53"/>
        <v>3009</v>
      </c>
      <c r="D200" s="4" t="str">
        <f>"肖青梦"</f>
        <v>肖青梦</v>
      </c>
      <c r="E200" s="4" t="str">
        <f t="shared" si="54"/>
        <v>女</v>
      </c>
      <c r="F200" s="5">
        <v>76.376</v>
      </c>
      <c r="G200" s="4"/>
      <c r="K200" s="7"/>
    </row>
    <row r="201" s="1" customFormat="1" ht="23" customHeight="1" spans="1:11">
      <c r="A201" s="4">
        <v>199</v>
      </c>
      <c r="B201" s="4" t="str">
        <f>"30090621925"</f>
        <v>30090621925</v>
      </c>
      <c r="C201" s="4" t="str">
        <f t="shared" si="53"/>
        <v>3009</v>
      </c>
      <c r="D201" s="4" t="str">
        <f>"马海华"</f>
        <v>马海华</v>
      </c>
      <c r="E201" s="4" t="str">
        <f t="shared" si="54"/>
        <v>女</v>
      </c>
      <c r="F201" s="5">
        <v>76.236</v>
      </c>
      <c r="G201" s="4"/>
      <c r="K201" s="7"/>
    </row>
    <row r="202" s="1" customFormat="1" ht="23" customHeight="1" spans="1:11">
      <c r="A202" s="4">
        <v>200</v>
      </c>
      <c r="B202" s="4" t="str">
        <f>"30100622024"</f>
        <v>30100622024</v>
      </c>
      <c r="C202" s="4" t="str">
        <f t="shared" ref="C202:C206" si="55">"3010"</f>
        <v>3010</v>
      </c>
      <c r="D202" s="4" t="str">
        <f>"何世康"</f>
        <v>何世康</v>
      </c>
      <c r="E202" s="4" t="str">
        <f t="shared" ref="E202:E206" si="56">"男"</f>
        <v>男</v>
      </c>
      <c r="F202" s="5">
        <v>78.656</v>
      </c>
      <c r="G202" s="4"/>
      <c r="K202" s="7"/>
    </row>
    <row r="203" s="1" customFormat="1" ht="23" customHeight="1" spans="1:11">
      <c r="A203" s="4">
        <v>201</v>
      </c>
      <c r="B203" s="4" t="str">
        <f>"30100622205"</f>
        <v>30100622205</v>
      </c>
      <c r="C203" s="4" t="str">
        <f t="shared" si="55"/>
        <v>3010</v>
      </c>
      <c r="D203" s="4" t="str">
        <f>"张洁"</f>
        <v>张洁</v>
      </c>
      <c r="E203" s="4" t="str">
        <f>"女"</f>
        <v>女</v>
      </c>
      <c r="F203" s="5">
        <v>77.092</v>
      </c>
      <c r="G203" s="4"/>
      <c r="K203" s="7"/>
    </row>
    <row r="204" s="1" customFormat="1" ht="23" customHeight="1" spans="1:11">
      <c r="A204" s="4">
        <v>202</v>
      </c>
      <c r="B204" s="4" t="str">
        <f>"30100622015"</f>
        <v>30100622015</v>
      </c>
      <c r="C204" s="4" t="str">
        <f t="shared" si="55"/>
        <v>3010</v>
      </c>
      <c r="D204" s="4" t="str">
        <f>"郭一俭"</f>
        <v>郭一俭</v>
      </c>
      <c r="E204" s="4" t="str">
        <f t="shared" si="56"/>
        <v>男</v>
      </c>
      <c r="F204" s="5">
        <v>76.86</v>
      </c>
      <c r="G204" s="4"/>
      <c r="K204" s="7"/>
    </row>
    <row r="205" s="1" customFormat="1" ht="23" customHeight="1" spans="1:11">
      <c r="A205" s="4">
        <v>203</v>
      </c>
      <c r="B205" s="4" t="str">
        <f>"30100622026"</f>
        <v>30100622026</v>
      </c>
      <c r="C205" s="4" t="str">
        <f t="shared" si="55"/>
        <v>3010</v>
      </c>
      <c r="D205" s="4" t="str">
        <f>"李帅"</f>
        <v>李帅</v>
      </c>
      <c r="E205" s="4" t="str">
        <f t="shared" si="56"/>
        <v>男</v>
      </c>
      <c r="F205" s="5">
        <v>75.924</v>
      </c>
      <c r="G205" s="4"/>
      <c r="K205" s="7"/>
    </row>
    <row r="206" s="1" customFormat="1" ht="23" customHeight="1" spans="1:11">
      <c r="A206" s="4">
        <v>204</v>
      </c>
      <c r="B206" s="4" t="str">
        <f>"30100622022"</f>
        <v>30100622022</v>
      </c>
      <c r="C206" s="4" t="str">
        <f t="shared" si="55"/>
        <v>3010</v>
      </c>
      <c r="D206" s="4" t="str">
        <f>"梁富权"</f>
        <v>梁富权</v>
      </c>
      <c r="E206" s="4" t="str">
        <f t="shared" si="56"/>
        <v>男</v>
      </c>
      <c r="F206" s="5">
        <v>75.5</v>
      </c>
      <c r="G206" s="4"/>
      <c r="K206" s="7"/>
    </row>
    <row r="207" s="1" customFormat="1" ht="23" customHeight="1" spans="1:11">
      <c r="A207" s="4">
        <v>205</v>
      </c>
      <c r="B207" s="4" t="str">
        <f>"30110622325"</f>
        <v>30110622325</v>
      </c>
      <c r="C207" s="4" t="str">
        <f t="shared" ref="C207:C209" si="57">"3011"</f>
        <v>3011</v>
      </c>
      <c r="D207" s="4" t="str">
        <f>"张雅丽"</f>
        <v>张雅丽</v>
      </c>
      <c r="E207" s="4" t="str">
        <f t="shared" ref="E207:E213" si="58">"女"</f>
        <v>女</v>
      </c>
      <c r="F207" s="5">
        <v>77.928</v>
      </c>
      <c r="G207" s="4"/>
      <c r="K207" s="7"/>
    </row>
    <row r="208" s="1" customFormat="1" ht="23" customHeight="1" spans="1:11">
      <c r="A208" s="4">
        <v>206</v>
      </c>
      <c r="B208" s="4" t="str">
        <f>"30110622323"</f>
        <v>30110622323</v>
      </c>
      <c r="C208" s="4" t="str">
        <f t="shared" si="57"/>
        <v>3011</v>
      </c>
      <c r="D208" s="4" t="str">
        <f>"包建璞"</f>
        <v>包建璞</v>
      </c>
      <c r="E208" s="4" t="str">
        <f>"男"</f>
        <v>男</v>
      </c>
      <c r="F208" s="5">
        <v>76.344</v>
      </c>
      <c r="G208" s="4"/>
      <c r="K208" s="7"/>
    </row>
    <row r="209" s="1" customFormat="1" ht="23" customHeight="1" spans="1:11">
      <c r="A209" s="4">
        <v>207</v>
      </c>
      <c r="B209" s="4" t="str">
        <f>"30110622223"</f>
        <v>30110622223</v>
      </c>
      <c r="C209" s="4" t="str">
        <f t="shared" si="57"/>
        <v>3011</v>
      </c>
      <c r="D209" s="4" t="str">
        <f>"邹新月"</f>
        <v>邹新月</v>
      </c>
      <c r="E209" s="4" t="str">
        <f>"男"</f>
        <v>男</v>
      </c>
      <c r="F209" s="5">
        <v>75.628</v>
      </c>
      <c r="G209" s="4"/>
      <c r="K209" s="7"/>
    </row>
    <row r="210" s="1" customFormat="1" ht="23" customHeight="1" spans="1:11">
      <c r="A210" s="4">
        <v>208</v>
      </c>
      <c r="B210" s="4" t="str">
        <f>"30120623213"</f>
        <v>30120623213</v>
      </c>
      <c r="C210" s="4" t="str">
        <f t="shared" ref="C210:C212" si="59">"3012"</f>
        <v>3012</v>
      </c>
      <c r="D210" s="4" t="str">
        <f>"刘依佳"</f>
        <v>刘依佳</v>
      </c>
      <c r="E210" s="4" t="str">
        <f t="shared" si="58"/>
        <v>女</v>
      </c>
      <c r="F210" s="5">
        <v>79.488</v>
      </c>
      <c r="G210" s="4"/>
      <c r="K210" s="7"/>
    </row>
    <row r="211" s="1" customFormat="1" ht="23" customHeight="1" spans="1:11">
      <c r="A211" s="4">
        <v>209</v>
      </c>
      <c r="B211" s="4" t="str">
        <f>"30120622807"</f>
        <v>30120622807</v>
      </c>
      <c r="C211" s="4" t="str">
        <f t="shared" si="59"/>
        <v>3012</v>
      </c>
      <c r="D211" s="4" t="str">
        <f>"刘桐"</f>
        <v>刘桐</v>
      </c>
      <c r="E211" s="4" t="str">
        <f t="shared" si="58"/>
        <v>女</v>
      </c>
      <c r="F211" s="5">
        <v>79.456</v>
      </c>
      <c r="G211" s="4"/>
      <c r="K211" s="7"/>
    </row>
    <row r="212" s="1" customFormat="1" ht="23" customHeight="1" spans="1:11">
      <c r="A212" s="4">
        <v>210</v>
      </c>
      <c r="B212" s="4" t="str">
        <f>"30120623230"</f>
        <v>30120623230</v>
      </c>
      <c r="C212" s="4" t="str">
        <f t="shared" si="59"/>
        <v>3012</v>
      </c>
      <c r="D212" s="4" t="str">
        <f>"鲁曼曼"</f>
        <v>鲁曼曼</v>
      </c>
      <c r="E212" s="4" t="str">
        <f t="shared" si="58"/>
        <v>女</v>
      </c>
      <c r="F212" s="5">
        <v>79.1</v>
      </c>
      <c r="G212" s="4"/>
      <c r="K212" s="7"/>
    </row>
    <row r="213" s="1" customFormat="1" ht="23" customHeight="1" spans="1:11">
      <c r="A213" s="4">
        <v>211</v>
      </c>
      <c r="B213" s="4" t="str">
        <f>"40010723401"</f>
        <v>40010723401</v>
      </c>
      <c r="C213" s="4" t="str">
        <f>"4001"</f>
        <v>4001</v>
      </c>
      <c r="D213" s="4" t="str">
        <f>"刘亭"</f>
        <v>刘亭</v>
      </c>
      <c r="E213" s="4" t="str">
        <f t="shared" si="58"/>
        <v>女</v>
      </c>
      <c r="F213" s="5">
        <v>77.928</v>
      </c>
      <c r="G213" s="4"/>
      <c r="K213" s="7"/>
    </row>
    <row r="214" s="1" customFormat="1" ht="23" customHeight="1" spans="1:11">
      <c r="A214" s="4">
        <v>212</v>
      </c>
      <c r="B214" s="4" t="str">
        <f>"40010623320"</f>
        <v>40010623320</v>
      </c>
      <c r="C214" s="4" t="str">
        <f>"4001"</f>
        <v>4001</v>
      </c>
      <c r="D214" s="4" t="str">
        <f>"来克铅"</f>
        <v>来克铅</v>
      </c>
      <c r="E214" s="4" t="str">
        <f>"男"</f>
        <v>男</v>
      </c>
      <c r="F214" s="5">
        <v>76.216</v>
      </c>
      <c r="G214" s="4"/>
      <c r="K214" s="7"/>
    </row>
    <row r="215" s="1" customFormat="1" ht="23" customHeight="1" spans="1:11">
      <c r="A215" s="4">
        <v>213</v>
      </c>
      <c r="B215" s="4" t="str">
        <f>"40020723428"</f>
        <v>40020723428</v>
      </c>
      <c r="C215" s="4" t="str">
        <f>"4002"</f>
        <v>4002</v>
      </c>
      <c r="D215" s="4" t="str">
        <f>"王景瑞"</f>
        <v>王景瑞</v>
      </c>
      <c r="E215" s="4" t="str">
        <f t="shared" ref="E215:E220" si="60">"女"</f>
        <v>女</v>
      </c>
      <c r="F215" s="5">
        <v>80.224</v>
      </c>
      <c r="G215" s="4"/>
      <c r="K215" s="7"/>
    </row>
    <row r="216" s="1" customFormat="1" ht="23" customHeight="1" spans="1:11">
      <c r="A216" s="4">
        <v>214</v>
      </c>
      <c r="B216" s="4" t="str">
        <f>"40020723510"</f>
        <v>40020723510</v>
      </c>
      <c r="C216" s="4" t="str">
        <f>"4002"</f>
        <v>4002</v>
      </c>
      <c r="D216" s="4" t="str">
        <f>"马晴"</f>
        <v>马晴</v>
      </c>
      <c r="E216" s="4" t="str">
        <f t="shared" si="60"/>
        <v>女</v>
      </c>
      <c r="F216" s="5">
        <v>77.36</v>
      </c>
      <c r="G216" s="4"/>
      <c r="K216" s="7"/>
    </row>
    <row r="217" s="1" customFormat="1" ht="23" customHeight="1" spans="1:11">
      <c r="A217" s="4">
        <v>215</v>
      </c>
      <c r="B217" s="4" t="str">
        <f>"40030723525"</f>
        <v>40030723525</v>
      </c>
      <c r="C217" s="4" t="str">
        <f>"4003"</f>
        <v>4003</v>
      </c>
      <c r="D217" s="4" t="str">
        <f>"孟聪聪"</f>
        <v>孟聪聪</v>
      </c>
      <c r="E217" s="4" t="str">
        <f t="shared" si="60"/>
        <v>女</v>
      </c>
      <c r="F217" s="5">
        <v>78.752</v>
      </c>
      <c r="G217" s="4"/>
      <c r="K217" s="7"/>
    </row>
    <row r="218" s="1" customFormat="1" ht="23" customHeight="1" spans="1:11">
      <c r="A218" s="4">
        <v>216</v>
      </c>
      <c r="B218" s="4" t="str">
        <f>"40030723527"</f>
        <v>40030723527</v>
      </c>
      <c r="C218" s="4" t="str">
        <f>"4003"</f>
        <v>4003</v>
      </c>
      <c r="D218" s="4" t="str">
        <f>"张楚莹"</f>
        <v>张楚莹</v>
      </c>
      <c r="E218" s="4" t="str">
        <f t="shared" si="60"/>
        <v>女</v>
      </c>
      <c r="F218" s="5">
        <v>78.688</v>
      </c>
      <c r="G218" s="4"/>
      <c r="K218" s="7"/>
    </row>
    <row r="219" s="1" customFormat="1" ht="23" customHeight="1" spans="1:11">
      <c r="A219" s="4">
        <v>217</v>
      </c>
      <c r="B219" s="4" t="str">
        <f>"40040723607"</f>
        <v>40040723607</v>
      </c>
      <c r="C219" s="4" t="str">
        <f>"4004"</f>
        <v>4004</v>
      </c>
      <c r="D219" s="4" t="str">
        <f>"李毅冰"</f>
        <v>李毅冰</v>
      </c>
      <c r="E219" s="4" t="str">
        <f t="shared" si="60"/>
        <v>女</v>
      </c>
      <c r="F219" s="5">
        <v>75.348</v>
      </c>
      <c r="G219" s="4"/>
      <c r="K219" s="7"/>
    </row>
    <row r="220" s="1" customFormat="1" ht="23" customHeight="1" spans="1:11">
      <c r="A220" s="4">
        <v>218</v>
      </c>
      <c r="B220" s="4" t="str">
        <f>"40040723608"</f>
        <v>40040723608</v>
      </c>
      <c r="C220" s="4" t="str">
        <f>"4004"</f>
        <v>4004</v>
      </c>
      <c r="D220" s="4" t="str">
        <f>"李雪晴"</f>
        <v>李雪晴</v>
      </c>
      <c r="E220" s="4" t="str">
        <f t="shared" si="60"/>
        <v>女</v>
      </c>
      <c r="F220" s="5">
        <v>75.16</v>
      </c>
      <c r="G220" s="4"/>
      <c r="K220" s="7"/>
    </row>
    <row r="221" s="1" customFormat="1" ht="23" customHeight="1" spans="1:11">
      <c r="A221" s="4">
        <v>219</v>
      </c>
      <c r="B221" s="4" t="str">
        <f>"40050723621"</f>
        <v>40050723621</v>
      </c>
      <c r="C221" s="4" t="str">
        <f>"4005"</f>
        <v>4005</v>
      </c>
      <c r="D221" s="4" t="str">
        <f>"张泽勋"</f>
        <v>张泽勋</v>
      </c>
      <c r="E221" s="4" t="str">
        <f>"男"</f>
        <v>男</v>
      </c>
      <c r="F221" s="5">
        <v>75.896</v>
      </c>
      <c r="G221" s="4"/>
      <c r="K221" s="7"/>
    </row>
    <row r="222" s="1" customFormat="1" ht="23" customHeight="1" spans="1:11">
      <c r="A222" s="4">
        <v>220</v>
      </c>
      <c r="B222" s="4" t="str">
        <f>"40050723609"</f>
        <v>40050723609</v>
      </c>
      <c r="C222" s="4" t="str">
        <f>"4005"</f>
        <v>4005</v>
      </c>
      <c r="D222" s="4" t="str">
        <f>"李峥"</f>
        <v>李峥</v>
      </c>
      <c r="E222" s="4" t="str">
        <f>"男"</f>
        <v>男</v>
      </c>
      <c r="F222" s="5">
        <v>75.432</v>
      </c>
      <c r="G222" s="4"/>
      <c r="K222" s="7"/>
    </row>
    <row r="223" s="1" customFormat="1" ht="23" customHeight="1" spans="1:11">
      <c r="A223" s="4">
        <v>221</v>
      </c>
      <c r="B223" s="4" t="str">
        <f>"50010724103"</f>
        <v>50010724103</v>
      </c>
      <c r="C223" s="4" t="str">
        <f t="shared" ref="C223:C231" si="61">"5001"</f>
        <v>5001</v>
      </c>
      <c r="D223" s="4" t="str">
        <f>"陈陆阳"</f>
        <v>陈陆阳</v>
      </c>
      <c r="E223" s="4" t="str">
        <f t="shared" ref="E223:E238" si="62">"女"</f>
        <v>女</v>
      </c>
      <c r="F223" s="5">
        <v>80.984</v>
      </c>
      <c r="G223" s="4"/>
      <c r="K223" s="7"/>
    </row>
    <row r="224" s="1" customFormat="1" ht="23" customHeight="1" spans="1:11">
      <c r="A224" s="4">
        <v>222</v>
      </c>
      <c r="B224" s="4" t="str">
        <f>"50010725518"</f>
        <v>50010725518</v>
      </c>
      <c r="C224" s="4" t="str">
        <f t="shared" si="61"/>
        <v>5001</v>
      </c>
      <c r="D224" s="4" t="str">
        <f>"李忠洋"</f>
        <v>李忠洋</v>
      </c>
      <c r="E224" s="4" t="str">
        <f t="shared" si="62"/>
        <v>女</v>
      </c>
      <c r="F224" s="5">
        <v>80.692</v>
      </c>
      <c r="G224" s="4"/>
      <c r="K224" s="7"/>
    </row>
    <row r="225" s="1" customFormat="1" ht="23" customHeight="1" spans="1:11">
      <c r="A225" s="4">
        <v>223</v>
      </c>
      <c r="B225" s="4" t="str">
        <f>"50010827230"</f>
        <v>50010827230</v>
      </c>
      <c r="C225" s="4" t="str">
        <f t="shared" si="61"/>
        <v>5001</v>
      </c>
      <c r="D225" s="4" t="str">
        <f>"程阳"</f>
        <v>程阳</v>
      </c>
      <c r="E225" s="4" t="str">
        <f t="shared" si="62"/>
        <v>女</v>
      </c>
      <c r="F225" s="5">
        <v>80.412</v>
      </c>
      <c r="G225" s="4"/>
      <c r="K225" s="7"/>
    </row>
    <row r="226" s="1" customFormat="1" ht="23" customHeight="1" spans="1:11">
      <c r="A226" s="4">
        <v>224</v>
      </c>
      <c r="B226" s="4" t="str">
        <f>"50010725603"</f>
        <v>50010725603</v>
      </c>
      <c r="C226" s="4" t="str">
        <f t="shared" si="61"/>
        <v>5001</v>
      </c>
      <c r="D226" s="4" t="str">
        <f>"李含妍"</f>
        <v>李含妍</v>
      </c>
      <c r="E226" s="4" t="str">
        <f t="shared" si="62"/>
        <v>女</v>
      </c>
      <c r="F226" s="5">
        <v>80.028</v>
      </c>
      <c r="G226" s="4"/>
      <c r="K226" s="7"/>
    </row>
    <row r="227" s="1" customFormat="1" ht="23" customHeight="1" spans="1:11">
      <c r="A227" s="4">
        <v>225</v>
      </c>
      <c r="B227" s="4" t="str">
        <f>"50010827206"</f>
        <v>50010827206</v>
      </c>
      <c r="C227" s="4" t="str">
        <f t="shared" si="61"/>
        <v>5001</v>
      </c>
      <c r="D227" s="4" t="str">
        <f>"梁小仪"</f>
        <v>梁小仪</v>
      </c>
      <c r="E227" s="4" t="str">
        <f t="shared" si="62"/>
        <v>女</v>
      </c>
      <c r="F227" s="5">
        <v>79.912</v>
      </c>
      <c r="G227" s="4"/>
      <c r="K227" s="7"/>
    </row>
    <row r="228" s="1" customFormat="1" ht="23" customHeight="1" spans="1:11">
      <c r="A228" s="4">
        <v>226</v>
      </c>
      <c r="B228" s="4" t="str">
        <f>"50010827211"</f>
        <v>50010827211</v>
      </c>
      <c r="C228" s="4" t="str">
        <f t="shared" si="61"/>
        <v>5001</v>
      </c>
      <c r="D228" s="4" t="str">
        <f>"陈怡静"</f>
        <v>陈怡静</v>
      </c>
      <c r="E228" s="4" t="str">
        <f t="shared" si="62"/>
        <v>女</v>
      </c>
      <c r="F228" s="5">
        <v>79.856</v>
      </c>
      <c r="G228" s="4"/>
      <c r="K228" s="7"/>
    </row>
    <row r="229" s="1" customFormat="1" ht="23" customHeight="1" spans="1:11">
      <c r="A229" s="4">
        <v>227</v>
      </c>
      <c r="B229" s="4" t="str">
        <f>"50010724820"</f>
        <v>50010724820</v>
      </c>
      <c r="C229" s="4" t="str">
        <f t="shared" si="61"/>
        <v>5001</v>
      </c>
      <c r="D229" s="4" t="str">
        <f>"丁佳一"</f>
        <v>丁佳一</v>
      </c>
      <c r="E229" s="4" t="str">
        <f t="shared" si="62"/>
        <v>女</v>
      </c>
      <c r="F229" s="5">
        <v>79.74</v>
      </c>
      <c r="G229" s="4"/>
      <c r="K229" s="7"/>
    </row>
    <row r="230" s="1" customFormat="1" ht="23" customHeight="1" spans="1:11">
      <c r="A230" s="4">
        <v>228</v>
      </c>
      <c r="B230" s="4" t="str">
        <f>"50010726924"</f>
        <v>50010726924</v>
      </c>
      <c r="C230" s="4" t="str">
        <f t="shared" si="61"/>
        <v>5001</v>
      </c>
      <c r="D230" s="4" t="str">
        <f>"刘明明"</f>
        <v>刘明明</v>
      </c>
      <c r="E230" s="4" t="str">
        <f t="shared" si="62"/>
        <v>女</v>
      </c>
      <c r="F230" s="5">
        <v>79.148</v>
      </c>
      <c r="G230" s="4"/>
      <c r="K230" s="7"/>
    </row>
    <row r="231" s="1" customFormat="1" ht="23" customHeight="1" spans="1:11">
      <c r="A231" s="4">
        <v>229</v>
      </c>
      <c r="B231" s="4" t="str">
        <f>"50010726619"</f>
        <v>50010726619</v>
      </c>
      <c r="C231" s="4" t="str">
        <f t="shared" si="61"/>
        <v>5001</v>
      </c>
      <c r="D231" s="4" t="str">
        <f>"陈哲"</f>
        <v>陈哲</v>
      </c>
      <c r="E231" s="4" t="str">
        <f t="shared" si="62"/>
        <v>女</v>
      </c>
      <c r="F231" s="5">
        <v>79.088</v>
      </c>
      <c r="G231" s="4"/>
      <c r="K231" s="7"/>
    </row>
    <row r="232" s="1" customFormat="1" ht="23" customHeight="1" spans="1:11">
      <c r="A232" s="4">
        <v>230</v>
      </c>
      <c r="B232" s="4" t="str">
        <f>"50020830126"</f>
        <v>50020830126</v>
      </c>
      <c r="C232" s="4" t="str">
        <f t="shared" ref="C232:C240" si="63">"5002"</f>
        <v>5002</v>
      </c>
      <c r="D232" s="4" t="str">
        <f>"尹应坤"</f>
        <v>尹应坤</v>
      </c>
      <c r="E232" s="4" t="str">
        <f t="shared" si="62"/>
        <v>女</v>
      </c>
      <c r="F232" s="5">
        <v>79.804</v>
      </c>
      <c r="G232" s="4"/>
      <c r="K232" s="7"/>
    </row>
    <row r="233" s="1" customFormat="1" ht="23" customHeight="1" spans="1:11">
      <c r="A233" s="4">
        <v>231</v>
      </c>
      <c r="B233" s="4" t="str">
        <f>"50020830215"</f>
        <v>50020830215</v>
      </c>
      <c r="C233" s="4" t="str">
        <f t="shared" si="63"/>
        <v>5002</v>
      </c>
      <c r="D233" s="4" t="str">
        <f>"韩梦梦"</f>
        <v>韩梦梦</v>
      </c>
      <c r="E233" s="4" t="str">
        <f t="shared" si="62"/>
        <v>女</v>
      </c>
      <c r="F233" s="5">
        <v>79.496</v>
      </c>
      <c r="G233" s="4"/>
      <c r="K233" s="7"/>
    </row>
    <row r="234" s="1" customFormat="1" ht="23" customHeight="1" spans="1:11">
      <c r="A234" s="4">
        <v>232</v>
      </c>
      <c r="B234" s="4" t="str">
        <f>"50020831324"</f>
        <v>50020831324</v>
      </c>
      <c r="C234" s="4" t="str">
        <f t="shared" si="63"/>
        <v>5002</v>
      </c>
      <c r="D234" s="4" t="str">
        <f>"郭瑞"</f>
        <v>郭瑞</v>
      </c>
      <c r="E234" s="4" t="str">
        <f t="shared" si="62"/>
        <v>女</v>
      </c>
      <c r="F234" s="5">
        <v>78.968</v>
      </c>
      <c r="G234" s="4"/>
      <c r="K234" s="7"/>
    </row>
    <row r="235" s="1" customFormat="1" ht="23" customHeight="1" spans="1:11">
      <c r="A235" s="4">
        <v>233</v>
      </c>
      <c r="B235" s="4" t="str">
        <f>"50020829003"</f>
        <v>50020829003</v>
      </c>
      <c r="C235" s="4" t="str">
        <f t="shared" si="63"/>
        <v>5002</v>
      </c>
      <c r="D235" s="4" t="str">
        <f>"刘佳"</f>
        <v>刘佳</v>
      </c>
      <c r="E235" s="4" t="str">
        <f t="shared" si="62"/>
        <v>女</v>
      </c>
      <c r="F235" s="5">
        <v>78.868</v>
      </c>
      <c r="G235" s="4"/>
      <c r="K235" s="7"/>
    </row>
    <row r="236" s="1" customFormat="1" ht="23" customHeight="1" spans="1:11">
      <c r="A236" s="4">
        <v>234</v>
      </c>
      <c r="B236" s="4" t="str">
        <f>"50020831206"</f>
        <v>50020831206</v>
      </c>
      <c r="C236" s="4" t="str">
        <f t="shared" si="63"/>
        <v>5002</v>
      </c>
      <c r="D236" s="4" t="str">
        <f>"王含蕊"</f>
        <v>王含蕊</v>
      </c>
      <c r="E236" s="4" t="str">
        <f t="shared" si="62"/>
        <v>女</v>
      </c>
      <c r="F236" s="5">
        <v>78.228</v>
      </c>
      <c r="G236" s="4"/>
      <c r="K236" s="7"/>
    </row>
    <row r="237" s="1" customFormat="1" ht="23" customHeight="1" spans="1:11">
      <c r="A237" s="4">
        <v>235</v>
      </c>
      <c r="B237" s="4" t="str">
        <f>"50020829128"</f>
        <v>50020829128</v>
      </c>
      <c r="C237" s="4" t="str">
        <f t="shared" si="63"/>
        <v>5002</v>
      </c>
      <c r="D237" s="4" t="str">
        <f>"谢玉立"</f>
        <v>谢玉立</v>
      </c>
      <c r="E237" s="4" t="str">
        <f t="shared" si="62"/>
        <v>女</v>
      </c>
      <c r="F237" s="5">
        <v>78.228</v>
      </c>
      <c r="G237" s="4"/>
      <c r="K237" s="7"/>
    </row>
    <row r="238" s="1" customFormat="1" ht="23" customHeight="1" spans="1:11">
      <c r="A238" s="4">
        <v>236</v>
      </c>
      <c r="B238" s="4" t="str">
        <f>"50020829726"</f>
        <v>50020829726</v>
      </c>
      <c r="C238" s="4" t="str">
        <f t="shared" si="63"/>
        <v>5002</v>
      </c>
      <c r="D238" s="4" t="str">
        <f>"白现娇"</f>
        <v>白现娇</v>
      </c>
      <c r="E238" s="4" t="str">
        <f t="shared" si="62"/>
        <v>女</v>
      </c>
      <c r="F238" s="5">
        <v>78.216</v>
      </c>
      <c r="G238" s="4"/>
      <c r="K238" s="7"/>
    </row>
    <row r="239" s="1" customFormat="1" ht="23" customHeight="1" spans="1:11">
      <c r="A239" s="4">
        <v>237</v>
      </c>
      <c r="B239" s="4" t="str">
        <f>"50020828116"</f>
        <v>50020828116</v>
      </c>
      <c r="C239" s="4" t="str">
        <f t="shared" si="63"/>
        <v>5002</v>
      </c>
      <c r="D239" s="4" t="str">
        <f>"柴晓争"</f>
        <v>柴晓争</v>
      </c>
      <c r="E239" s="4" t="str">
        <f>"男"</f>
        <v>男</v>
      </c>
      <c r="F239" s="5">
        <v>78.12</v>
      </c>
      <c r="G239" s="4"/>
      <c r="K239" s="7"/>
    </row>
    <row r="240" s="1" customFormat="1" ht="23" customHeight="1" spans="1:11">
      <c r="A240" s="4">
        <v>238</v>
      </c>
      <c r="B240" s="4" t="str">
        <f>"50020831107"</f>
        <v>50020831107</v>
      </c>
      <c r="C240" s="4" t="str">
        <f t="shared" si="63"/>
        <v>5002</v>
      </c>
      <c r="D240" s="4" t="str">
        <f>"关洪燕"</f>
        <v>关洪燕</v>
      </c>
      <c r="E240" s="4" t="str">
        <f t="shared" ref="E240:E245" si="64">"女"</f>
        <v>女</v>
      </c>
      <c r="F240" s="5">
        <v>78.064</v>
      </c>
      <c r="G240" s="4"/>
      <c r="K240" s="7"/>
    </row>
    <row r="241" s="1" customFormat="1" ht="23" customHeight="1" spans="1:11">
      <c r="A241" s="4">
        <v>239</v>
      </c>
      <c r="B241" s="4" t="str">
        <f>"50030931609"</f>
        <v>50030931609</v>
      </c>
      <c r="C241" s="4" t="str">
        <f t="shared" ref="C241:C245" si="65">"5003"</f>
        <v>5003</v>
      </c>
      <c r="D241" s="4" t="str">
        <f>"梁方"</f>
        <v>梁方</v>
      </c>
      <c r="E241" s="4" t="str">
        <f t="shared" si="64"/>
        <v>女</v>
      </c>
      <c r="F241" s="5">
        <v>82.02</v>
      </c>
      <c r="G241" s="4"/>
      <c r="K241" s="7"/>
    </row>
    <row r="242" s="1" customFormat="1" ht="23" customHeight="1" spans="1:11">
      <c r="A242" s="4">
        <v>240</v>
      </c>
      <c r="B242" s="4" t="str">
        <f>"50030932029"</f>
        <v>50030932029</v>
      </c>
      <c r="C242" s="4" t="str">
        <f t="shared" si="65"/>
        <v>5003</v>
      </c>
      <c r="D242" s="4" t="str">
        <f>"赵天源"</f>
        <v>赵天源</v>
      </c>
      <c r="E242" s="4" t="str">
        <f t="shared" si="64"/>
        <v>女</v>
      </c>
      <c r="F242" s="5">
        <v>80.972</v>
      </c>
      <c r="G242" s="4"/>
      <c r="K242" s="7"/>
    </row>
    <row r="243" s="1" customFormat="1" ht="23" customHeight="1" spans="1:11">
      <c r="A243" s="4">
        <v>241</v>
      </c>
      <c r="B243" s="4" t="str">
        <f>"50030831512"</f>
        <v>50030831512</v>
      </c>
      <c r="C243" s="4" t="str">
        <f t="shared" si="65"/>
        <v>5003</v>
      </c>
      <c r="D243" s="4" t="str">
        <f>"张海涵"</f>
        <v>张海涵</v>
      </c>
      <c r="E243" s="4" t="str">
        <f t="shared" si="64"/>
        <v>女</v>
      </c>
      <c r="F243" s="5">
        <v>80.884</v>
      </c>
      <c r="G243" s="4"/>
      <c r="K243" s="7"/>
    </row>
    <row r="244" s="1" customFormat="1" ht="23" customHeight="1" spans="1:11">
      <c r="A244" s="4">
        <v>242</v>
      </c>
      <c r="B244" s="4" t="str">
        <f>"50030932204"</f>
        <v>50030932204</v>
      </c>
      <c r="C244" s="4" t="str">
        <f t="shared" si="65"/>
        <v>5003</v>
      </c>
      <c r="D244" s="4" t="str">
        <f>"贾梦柯"</f>
        <v>贾梦柯</v>
      </c>
      <c r="E244" s="4" t="str">
        <f t="shared" si="64"/>
        <v>女</v>
      </c>
      <c r="F244" s="5">
        <v>78.852</v>
      </c>
      <c r="G244" s="4"/>
      <c r="K244" s="7"/>
    </row>
    <row r="245" s="1" customFormat="1" ht="23" customHeight="1" spans="1:11">
      <c r="A245" s="4">
        <v>243</v>
      </c>
      <c r="B245" s="4" t="str">
        <f>"50030931616"</f>
        <v>50030931616</v>
      </c>
      <c r="C245" s="4" t="str">
        <f t="shared" si="65"/>
        <v>5003</v>
      </c>
      <c r="D245" s="4" t="str">
        <f>"张贝贝"</f>
        <v>张贝贝</v>
      </c>
      <c r="E245" s="4" t="str">
        <f t="shared" si="64"/>
        <v>女</v>
      </c>
      <c r="F245" s="5">
        <v>78.736</v>
      </c>
      <c r="G245" s="4"/>
      <c r="K245" s="7"/>
    </row>
    <row r="246" s="1" customFormat="1" ht="23" customHeight="1" spans="1:11">
      <c r="A246" s="4">
        <v>244</v>
      </c>
      <c r="B246" s="4" t="str">
        <f>"50040932411"</f>
        <v>50040932411</v>
      </c>
      <c r="C246" s="4" t="str">
        <f t="shared" ref="C246:C248" si="66">"5004"</f>
        <v>5004</v>
      </c>
      <c r="D246" s="4" t="str">
        <f>"李智"</f>
        <v>李智</v>
      </c>
      <c r="E246" s="4" t="str">
        <f>"男"</f>
        <v>男</v>
      </c>
      <c r="F246" s="5">
        <v>79.496</v>
      </c>
      <c r="G246" s="4"/>
      <c r="K246" s="7"/>
    </row>
    <row r="247" s="1" customFormat="1" ht="23" customHeight="1" spans="1:11">
      <c r="A247" s="4">
        <v>245</v>
      </c>
      <c r="B247" s="4" t="str">
        <f>"50040932512"</f>
        <v>50040932512</v>
      </c>
      <c r="C247" s="4" t="str">
        <f t="shared" si="66"/>
        <v>5004</v>
      </c>
      <c r="D247" s="4" t="str">
        <f>"陈晴"</f>
        <v>陈晴</v>
      </c>
      <c r="E247" s="4" t="str">
        <f t="shared" ref="E247:E264" si="67">"女"</f>
        <v>女</v>
      </c>
      <c r="F247" s="5">
        <v>77.424</v>
      </c>
      <c r="G247" s="4"/>
      <c r="K247" s="7"/>
    </row>
    <row r="248" s="1" customFormat="1" ht="23" customHeight="1" spans="1:11">
      <c r="A248" s="4">
        <v>246</v>
      </c>
      <c r="B248" s="4" t="str">
        <f>"50040932509"</f>
        <v>50040932509</v>
      </c>
      <c r="C248" s="4" t="str">
        <f t="shared" si="66"/>
        <v>5004</v>
      </c>
      <c r="D248" s="4" t="str">
        <f>"苏如楠"</f>
        <v>苏如楠</v>
      </c>
      <c r="E248" s="4" t="str">
        <f t="shared" si="67"/>
        <v>女</v>
      </c>
      <c r="F248" s="5">
        <v>76.944</v>
      </c>
      <c r="G248" s="4"/>
      <c r="K248" s="7"/>
    </row>
    <row r="249" s="1" customFormat="1" ht="23" customHeight="1" spans="1:11">
      <c r="A249" s="4">
        <v>247</v>
      </c>
      <c r="B249" s="4" t="str">
        <f>"50050932528"</f>
        <v>50050932528</v>
      </c>
      <c r="C249" s="4" t="str">
        <f t="shared" ref="C249:C251" si="68">"5005"</f>
        <v>5005</v>
      </c>
      <c r="D249" s="4" t="str">
        <f>"张祥颖"</f>
        <v>张祥颖</v>
      </c>
      <c r="E249" s="4" t="str">
        <f t="shared" si="67"/>
        <v>女</v>
      </c>
      <c r="F249" s="5">
        <v>79.368</v>
      </c>
      <c r="G249" s="4"/>
      <c r="K249" s="7"/>
    </row>
    <row r="250" s="1" customFormat="1" ht="23" customHeight="1" spans="1:11">
      <c r="A250" s="4">
        <v>248</v>
      </c>
      <c r="B250" s="4" t="str">
        <f>"50050932714"</f>
        <v>50050932714</v>
      </c>
      <c r="C250" s="4" t="str">
        <f t="shared" si="68"/>
        <v>5005</v>
      </c>
      <c r="D250" s="4" t="str">
        <f>"金姿含"</f>
        <v>金姿含</v>
      </c>
      <c r="E250" s="4" t="str">
        <f t="shared" si="67"/>
        <v>女</v>
      </c>
      <c r="F250" s="5">
        <v>76.144</v>
      </c>
      <c r="G250" s="4"/>
      <c r="K250" s="7"/>
    </row>
    <row r="251" s="1" customFormat="1" ht="23" customHeight="1" spans="1:11">
      <c r="A251" s="4">
        <v>249</v>
      </c>
      <c r="B251" s="4" t="str">
        <f>"50050932523"</f>
        <v>50050932523</v>
      </c>
      <c r="C251" s="4" t="str">
        <f t="shared" si="68"/>
        <v>5005</v>
      </c>
      <c r="D251" s="4" t="str">
        <f>"林巧"</f>
        <v>林巧</v>
      </c>
      <c r="E251" s="4" t="str">
        <f t="shared" si="67"/>
        <v>女</v>
      </c>
      <c r="F251" s="5">
        <v>75.952</v>
      </c>
      <c r="G251" s="4"/>
      <c r="K251" s="7"/>
    </row>
    <row r="252" s="1" customFormat="1" ht="23" customHeight="1" spans="1:11">
      <c r="A252" s="4">
        <v>250</v>
      </c>
      <c r="B252" s="4" t="str">
        <f>"50060933519"</f>
        <v>50060933519</v>
      </c>
      <c r="C252" s="4" t="str">
        <f t="shared" ref="C252:C254" si="69">"5006"</f>
        <v>5006</v>
      </c>
      <c r="D252" s="4" t="str">
        <f>"李雅博"</f>
        <v>李雅博</v>
      </c>
      <c r="E252" s="4" t="str">
        <f t="shared" si="67"/>
        <v>女</v>
      </c>
      <c r="F252" s="5">
        <v>81.432</v>
      </c>
      <c r="G252" s="4"/>
      <c r="K252" s="7"/>
    </row>
    <row r="253" s="1" customFormat="1" ht="23" customHeight="1" spans="1:11">
      <c r="A253" s="4">
        <v>251</v>
      </c>
      <c r="B253" s="4" t="str">
        <f>"50060933302"</f>
        <v>50060933302</v>
      </c>
      <c r="C253" s="4" t="str">
        <f t="shared" si="69"/>
        <v>5006</v>
      </c>
      <c r="D253" s="4" t="str">
        <f>"孙梦"</f>
        <v>孙梦</v>
      </c>
      <c r="E253" s="4" t="str">
        <f t="shared" si="67"/>
        <v>女</v>
      </c>
      <c r="F253" s="5">
        <v>78.172</v>
      </c>
      <c r="G253" s="4"/>
      <c r="K253" s="7"/>
    </row>
    <row r="254" s="1" customFormat="1" ht="23" customHeight="1" spans="1:11">
      <c r="A254" s="4">
        <v>252</v>
      </c>
      <c r="B254" s="4" t="str">
        <f>"50060932901"</f>
        <v>50060932901</v>
      </c>
      <c r="C254" s="4" t="str">
        <f t="shared" si="69"/>
        <v>5006</v>
      </c>
      <c r="D254" s="4" t="str">
        <f>"周嘉欣"</f>
        <v>周嘉欣</v>
      </c>
      <c r="E254" s="4" t="str">
        <f t="shared" si="67"/>
        <v>女</v>
      </c>
      <c r="F254" s="5">
        <v>78.012</v>
      </c>
      <c r="G254" s="4"/>
      <c r="K254" s="7"/>
    </row>
    <row r="255" s="1" customFormat="1" ht="23" customHeight="1" spans="1:11">
      <c r="A255" s="4">
        <v>253</v>
      </c>
      <c r="B255" s="4" t="str">
        <f>"60010933915"</f>
        <v>60010933915</v>
      </c>
      <c r="C255" s="4" t="str">
        <f t="shared" ref="C255:C258" si="70">"6001"</f>
        <v>6001</v>
      </c>
      <c r="D255" s="4" t="str">
        <f>"张冬梅"</f>
        <v>张冬梅</v>
      </c>
      <c r="E255" s="4" t="str">
        <f t="shared" si="67"/>
        <v>女</v>
      </c>
      <c r="F255" s="5">
        <v>82.372</v>
      </c>
      <c r="G255" s="4"/>
      <c r="K255" s="7"/>
    </row>
    <row r="256" s="1" customFormat="1" ht="23" customHeight="1" spans="1:11">
      <c r="A256" s="4">
        <v>254</v>
      </c>
      <c r="B256" s="4" t="str">
        <f>"60010934022"</f>
        <v>60010934022</v>
      </c>
      <c r="C256" s="4" t="str">
        <f t="shared" si="70"/>
        <v>6001</v>
      </c>
      <c r="D256" s="4" t="str">
        <f>"袁婷婷"</f>
        <v>袁婷婷</v>
      </c>
      <c r="E256" s="4" t="str">
        <f t="shared" si="67"/>
        <v>女</v>
      </c>
      <c r="F256" s="5">
        <v>81.188</v>
      </c>
      <c r="G256" s="4"/>
      <c r="K256" s="7"/>
    </row>
    <row r="257" s="1" customFormat="1" ht="23" customHeight="1" spans="1:11">
      <c r="A257" s="4">
        <v>255</v>
      </c>
      <c r="B257" s="4" t="str">
        <f>"60010933927"</f>
        <v>60010933927</v>
      </c>
      <c r="C257" s="4" t="str">
        <f t="shared" si="70"/>
        <v>6001</v>
      </c>
      <c r="D257" s="4" t="str">
        <f>"李仲夏"</f>
        <v>李仲夏</v>
      </c>
      <c r="E257" s="4" t="str">
        <f t="shared" si="67"/>
        <v>女</v>
      </c>
      <c r="F257" s="5">
        <v>80.828</v>
      </c>
      <c r="G257" s="4"/>
      <c r="K257" s="7"/>
    </row>
    <row r="258" s="1" customFormat="1" ht="23" customHeight="1" spans="1:11">
      <c r="A258" s="4">
        <v>256</v>
      </c>
      <c r="B258" s="4" t="str">
        <f>"60010933923"</f>
        <v>60010933923</v>
      </c>
      <c r="C258" s="4" t="str">
        <f t="shared" si="70"/>
        <v>6001</v>
      </c>
      <c r="D258" s="4" t="str">
        <f>"谢丰阳"</f>
        <v>谢丰阳</v>
      </c>
      <c r="E258" s="4" t="str">
        <f t="shared" si="67"/>
        <v>女</v>
      </c>
      <c r="F258" s="5">
        <v>79.848</v>
      </c>
      <c r="G258" s="4"/>
      <c r="K258" s="7"/>
    </row>
    <row r="259" s="1" customFormat="1" ht="23" customHeight="1" spans="1:11">
      <c r="A259" s="4">
        <v>257</v>
      </c>
      <c r="B259" s="4" t="str">
        <f>"60020934207"</f>
        <v>60020934207</v>
      </c>
      <c r="C259" s="4" t="str">
        <f t="shared" ref="C259:C262" si="71">"6002"</f>
        <v>6002</v>
      </c>
      <c r="D259" s="4" t="str">
        <f>"涂保凤"</f>
        <v>涂保凤</v>
      </c>
      <c r="E259" s="4" t="str">
        <f t="shared" si="67"/>
        <v>女</v>
      </c>
      <c r="F259" s="5">
        <v>78.836</v>
      </c>
      <c r="G259" s="4"/>
      <c r="K259" s="7"/>
    </row>
    <row r="260" s="1" customFormat="1" ht="23" customHeight="1" spans="1:11">
      <c r="A260" s="4">
        <v>258</v>
      </c>
      <c r="B260" s="4" t="str">
        <f>"60020934223"</f>
        <v>60020934223</v>
      </c>
      <c r="C260" s="4" t="str">
        <f t="shared" si="71"/>
        <v>6002</v>
      </c>
      <c r="D260" s="4" t="str">
        <f>"赵付九"</f>
        <v>赵付九</v>
      </c>
      <c r="E260" s="4" t="str">
        <f t="shared" si="67"/>
        <v>女</v>
      </c>
      <c r="F260" s="5">
        <v>77.308</v>
      </c>
      <c r="G260" s="4"/>
      <c r="K260" s="7"/>
    </row>
    <row r="261" s="1" customFormat="1" ht="23" customHeight="1" spans="1:11">
      <c r="A261" s="4">
        <v>259</v>
      </c>
      <c r="B261" s="4" t="str">
        <f>"60020934309"</f>
        <v>60020934309</v>
      </c>
      <c r="C261" s="4" t="str">
        <f t="shared" si="71"/>
        <v>6002</v>
      </c>
      <c r="D261" s="4" t="str">
        <f>"马超"</f>
        <v>马超</v>
      </c>
      <c r="E261" s="4" t="str">
        <f t="shared" si="67"/>
        <v>女</v>
      </c>
      <c r="F261" s="5">
        <v>77.3</v>
      </c>
      <c r="G261" s="4"/>
      <c r="K261" s="7"/>
    </row>
    <row r="262" s="1" customFormat="1" ht="23" customHeight="1" spans="1:11">
      <c r="A262" s="4">
        <v>260</v>
      </c>
      <c r="B262" s="4" t="str">
        <f>"60020934222"</f>
        <v>60020934222</v>
      </c>
      <c r="C262" s="4" t="str">
        <f t="shared" si="71"/>
        <v>6002</v>
      </c>
      <c r="D262" s="4" t="str">
        <f>"姜宛豫"</f>
        <v>姜宛豫</v>
      </c>
      <c r="E262" s="4" t="str">
        <f t="shared" si="67"/>
        <v>女</v>
      </c>
      <c r="F262" s="5">
        <v>77.18</v>
      </c>
      <c r="G262" s="4"/>
      <c r="K262" s="7"/>
    </row>
    <row r="263" s="1" customFormat="1" ht="23" customHeight="1" spans="1:11">
      <c r="A263" s="4">
        <v>261</v>
      </c>
      <c r="B263" s="4" t="str">
        <f>"60030934318"</f>
        <v>60030934318</v>
      </c>
      <c r="C263" s="4" t="str">
        <f>"6003"</f>
        <v>6003</v>
      </c>
      <c r="D263" s="4" t="str">
        <f>"邢盼盼"</f>
        <v>邢盼盼</v>
      </c>
      <c r="E263" s="4" t="str">
        <f t="shared" si="67"/>
        <v>女</v>
      </c>
      <c r="F263" s="5">
        <v>79.276</v>
      </c>
      <c r="G263" s="4"/>
      <c r="K263" s="7"/>
    </row>
    <row r="264" s="1" customFormat="1" ht="23" customHeight="1" spans="1:11">
      <c r="A264" s="4">
        <v>262</v>
      </c>
      <c r="B264" s="4" t="str">
        <f>"60030934424"</f>
        <v>60030934424</v>
      </c>
      <c r="C264" s="4" t="str">
        <f>"6003"</f>
        <v>6003</v>
      </c>
      <c r="D264" s="4" t="str">
        <f>"王双"</f>
        <v>王双</v>
      </c>
      <c r="E264" s="4" t="str">
        <f t="shared" si="67"/>
        <v>女</v>
      </c>
      <c r="F264" s="5">
        <v>78.708</v>
      </c>
      <c r="G264" s="4"/>
      <c r="K264" s="7"/>
    </row>
    <row r="265" s="1" customFormat="1" ht="23" customHeight="1" spans="1:11">
      <c r="A265" s="4">
        <v>263</v>
      </c>
      <c r="B265" s="4" t="str">
        <f>"60040934427"</f>
        <v>60040934427</v>
      </c>
      <c r="C265" s="4" t="str">
        <f>"6004"</f>
        <v>6004</v>
      </c>
      <c r="D265" s="4" t="str">
        <f>"孙晓艳"</f>
        <v>孙晓艳</v>
      </c>
      <c r="E265" s="4" t="s">
        <v>8</v>
      </c>
      <c r="F265" s="5">
        <v>74.94</v>
      </c>
      <c r="G265" s="4"/>
      <c r="K265" s="7"/>
    </row>
    <row r="266" s="1" customFormat="1" ht="23" customHeight="1" spans="1:11">
      <c r="A266" s="4">
        <v>264</v>
      </c>
      <c r="B266" s="4" t="str">
        <f>"60050934512"</f>
        <v>60050934512</v>
      </c>
      <c r="C266" s="4" t="str">
        <f>"6005"</f>
        <v>6005</v>
      </c>
      <c r="D266" s="4" t="str">
        <f>"周爽"</f>
        <v>周爽</v>
      </c>
      <c r="E266" s="4" t="str">
        <f t="shared" ref="E266:E302" si="72">"女"</f>
        <v>女</v>
      </c>
      <c r="F266" s="5">
        <v>73.952</v>
      </c>
      <c r="G266" s="4"/>
      <c r="K266" s="7"/>
    </row>
    <row r="267" s="1" customFormat="1" ht="23" customHeight="1" spans="1:11">
      <c r="A267" s="4">
        <v>265</v>
      </c>
      <c r="B267" s="4" t="str">
        <f>"60050934509"</f>
        <v>60050934509</v>
      </c>
      <c r="C267" s="4" t="str">
        <f>"6005"</f>
        <v>6005</v>
      </c>
      <c r="D267" s="4" t="str">
        <f>"贾云"</f>
        <v>贾云</v>
      </c>
      <c r="E267" s="4" t="str">
        <f t="shared" si="72"/>
        <v>女</v>
      </c>
      <c r="F267" s="5">
        <v>73.644</v>
      </c>
      <c r="G267" s="4"/>
      <c r="K267" s="7"/>
    </row>
    <row r="268" s="1" customFormat="1" ht="23" customHeight="1" spans="1:11">
      <c r="A268" s="4">
        <v>266</v>
      </c>
      <c r="B268" s="4" t="str">
        <f>"60060934612"</f>
        <v>60060934612</v>
      </c>
      <c r="C268" s="4" t="str">
        <f>"6006"</f>
        <v>6006</v>
      </c>
      <c r="D268" s="4" t="str">
        <f>"李恒"</f>
        <v>李恒</v>
      </c>
      <c r="E268" s="4" t="str">
        <f>"男"</f>
        <v>男</v>
      </c>
      <c r="F268" s="5">
        <v>78.576</v>
      </c>
      <c r="G268" s="4"/>
      <c r="K268" s="7"/>
    </row>
    <row r="269" s="1" customFormat="1" ht="23" customHeight="1" spans="1:11">
      <c r="A269" s="4">
        <v>267</v>
      </c>
      <c r="B269" s="4" t="str">
        <f>"60060934528"</f>
        <v>60060934528</v>
      </c>
      <c r="C269" s="4" t="str">
        <f>"6006"</f>
        <v>6006</v>
      </c>
      <c r="D269" s="4" t="str">
        <f>"张茜"</f>
        <v>张茜</v>
      </c>
      <c r="E269" s="4" t="str">
        <f t="shared" si="72"/>
        <v>女</v>
      </c>
      <c r="F269" s="5">
        <v>77.372</v>
      </c>
      <c r="G269" s="4"/>
      <c r="K269" s="7"/>
    </row>
    <row r="270" s="1" customFormat="1" ht="23" customHeight="1" spans="1:11">
      <c r="A270" s="4">
        <v>268</v>
      </c>
      <c r="B270" s="4" t="str">
        <f>"60070100201"</f>
        <v>60070100201</v>
      </c>
      <c r="C270" s="4" t="str">
        <f t="shared" ref="C270:C272" si="73">"6007"</f>
        <v>6007</v>
      </c>
      <c r="D270" s="4" t="str">
        <f>"苏明星"</f>
        <v>苏明星</v>
      </c>
      <c r="E270" s="4" t="str">
        <f t="shared" si="72"/>
        <v>女</v>
      </c>
      <c r="F270" s="5">
        <v>78.804</v>
      </c>
      <c r="G270" s="4"/>
      <c r="K270" s="7"/>
    </row>
    <row r="271" s="1" customFormat="1" ht="23" customHeight="1" spans="1:11">
      <c r="A271" s="4">
        <v>269</v>
      </c>
      <c r="B271" s="4" t="str">
        <f>"60070100113"</f>
        <v>60070100113</v>
      </c>
      <c r="C271" s="4" t="str">
        <f t="shared" si="73"/>
        <v>6007</v>
      </c>
      <c r="D271" s="4" t="str">
        <f>"齐祯祺"</f>
        <v>齐祯祺</v>
      </c>
      <c r="E271" s="4" t="str">
        <f t="shared" si="72"/>
        <v>女</v>
      </c>
      <c r="F271" s="5">
        <v>77.196</v>
      </c>
      <c r="G271" s="4"/>
      <c r="K271" s="7"/>
    </row>
    <row r="272" s="1" customFormat="1" ht="23" customHeight="1" spans="1:11">
      <c r="A272" s="4">
        <v>270</v>
      </c>
      <c r="B272" s="4" t="str">
        <f>"60070100124"</f>
        <v>60070100124</v>
      </c>
      <c r="C272" s="4" t="str">
        <f t="shared" si="73"/>
        <v>6007</v>
      </c>
      <c r="D272" s="4" t="str">
        <f>"宋裕玲"</f>
        <v>宋裕玲</v>
      </c>
      <c r="E272" s="4" t="str">
        <f t="shared" si="72"/>
        <v>女</v>
      </c>
      <c r="F272" s="5">
        <v>76.848</v>
      </c>
      <c r="G272" s="4"/>
      <c r="K272" s="7"/>
    </row>
    <row r="273" s="1" customFormat="1" ht="23" customHeight="1" spans="1:10">
      <c r="A273" s="4">
        <v>271</v>
      </c>
      <c r="B273" s="4" t="str">
        <f>"70010101630"</f>
        <v>70010101630</v>
      </c>
      <c r="C273" s="4" t="str">
        <f t="shared" ref="C273:C302" si="74">"7001"</f>
        <v>7001</v>
      </c>
      <c r="D273" s="4" t="str">
        <f>"周婷"</f>
        <v>周婷</v>
      </c>
      <c r="E273" s="4" t="str">
        <f t="shared" si="72"/>
        <v>女</v>
      </c>
      <c r="F273" s="5">
        <v>81.758</v>
      </c>
      <c r="G273" s="4"/>
      <c r="J273" s="7"/>
    </row>
    <row r="274" s="1" customFormat="1" ht="23" customHeight="1" spans="1:10">
      <c r="A274" s="4">
        <v>272</v>
      </c>
      <c r="B274" s="4" t="str">
        <f>"70010104704"</f>
        <v>70010104704</v>
      </c>
      <c r="C274" s="4" t="str">
        <f t="shared" si="74"/>
        <v>7001</v>
      </c>
      <c r="D274" s="4" t="str">
        <f>"梁红嫒"</f>
        <v>梁红嫒</v>
      </c>
      <c r="E274" s="4" t="str">
        <f t="shared" si="72"/>
        <v>女</v>
      </c>
      <c r="F274" s="5">
        <v>81.638</v>
      </c>
      <c r="G274" s="4"/>
      <c r="J274" s="7"/>
    </row>
    <row r="275" s="1" customFormat="1" ht="23" customHeight="1" spans="1:10">
      <c r="A275" s="4">
        <v>273</v>
      </c>
      <c r="B275" s="4" t="str">
        <f>"70010102504"</f>
        <v>70010102504</v>
      </c>
      <c r="C275" s="4" t="str">
        <f t="shared" si="74"/>
        <v>7001</v>
      </c>
      <c r="D275" s="4" t="str">
        <f>"付佳璇"</f>
        <v>付佳璇</v>
      </c>
      <c r="E275" s="4" t="str">
        <f t="shared" si="72"/>
        <v>女</v>
      </c>
      <c r="F275" s="5">
        <v>81.496</v>
      </c>
      <c r="G275" s="4"/>
      <c r="J275" s="7"/>
    </row>
    <row r="276" s="1" customFormat="1" ht="23" customHeight="1" spans="1:10">
      <c r="A276" s="4">
        <v>274</v>
      </c>
      <c r="B276" s="4" t="str">
        <f>"70010103608"</f>
        <v>70010103608</v>
      </c>
      <c r="C276" s="4" t="str">
        <f t="shared" si="74"/>
        <v>7001</v>
      </c>
      <c r="D276" s="4" t="str">
        <f>"于红阳"</f>
        <v>于红阳</v>
      </c>
      <c r="E276" s="4" t="str">
        <f t="shared" si="72"/>
        <v>女</v>
      </c>
      <c r="F276" s="5">
        <v>81.14</v>
      </c>
      <c r="G276" s="4"/>
      <c r="J276" s="7"/>
    </row>
    <row r="277" s="1" customFormat="1" ht="23" customHeight="1" spans="1:10">
      <c r="A277" s="4">
        <v>275</v>
      </c>
      <c r="B277" s="4" t="str">
        <f>"70010102906"</f>
        <v>70010102906</v>
      </c>
      <c r="C277" s="4" t="str">
        <f t="shared" si="74"/>
        <v>7001</v>
      </c>
      <c r="D277" s="4" t="str">
        <f>"闫迪"</f>
        <v>闫迪</v>
      </c>
      <c r="E277" s="4" t="str">
        <f t="shared" si="72"/>
        <v>女</v>
      </c>
      <c r="F277" s="5">
        <v>80.862</v>
      </c>
      <c r="G277" s="4"/>
      <c r="J277" s="7"/>
    </row>
    <row r="278" s="1" customFormat="1" ht="23" customHeight="1" spans="1:10">
      <c r="A278" s="4">
        <v>276</v>
      </c>
      <c r="B278" s="4" t="str">
        <f>"70010102904"</f>
        <v>70010102904</v>
      </c>
      <c r="C278" s="4" t="str">
        <f t="shared" si="74"/>
        <v>7001</v>
      </c>
      <c r="D278" s="4" t="str">
        <f>"王钰淼"</f>
        <v>王钰淼</v>
      </c>
      <c r="E278" s="4" t="str">
        <f t="shared" si="72"/>
        <v>女</v>
      </c>
      <c r="F278" s="5">
        <v>80.768</v>
      </c>
      <c r="G278" s="4"/>
      <c r="J278" s="7"/>
    </row>
    <row r="279" s="1" customFormat="1" ht="23" customHeight="1" spans="1:10">
      <c r="A279" s="4">
        <v>277</v>
      </c>
      <c r="B279" s="4" t="str">
        <f>"70010101020"</f>
        <v>70010101020</v>
      </c>
      <c r="C279" s="4" t="str">
        <f t="shared" si="74"/>
        <v>7001</v>
      </c>
      <c r="D279" s="4" t="str">
        <f>"叶素君"</f>
        <v>叶素君</v>
      </c>
      <c r="E279" s="4" t="str">
        <f t="shared" si="72"/>
        <v>女</v>
      </c>
      <c r="F279" s="5">
        <v>80.49</v>
      </c>
      <c r="G279" s="4"/>
      <c r="J279" s="7"/>
    </row>
    <row r="280" s="1" customFormat="1" ht="23" customHeight="1" spans="1:10">
      <c r="A280" s="4">
        <v>278</v>
      </c>
      <c r="B280" s="4" t="str">
        <f>"70010102824"</f>
        <v>70010102824</v>
      </c>
      <c r="C280" s="4" t="str">
        <f t="shared" si="74"/>
        <v>7001</v>
      </c>
      <c r="D280" s="4" t="str">
        <f>"李海燕"</f>
        <v>李海燕</v>
      </c>
      <c r="E280" s="4" t="str">
        <f t="shared" si="72"/>
        <v>女</v>
      </c>
      <c r="F280" s="5">
        <v>80.388</v>
      </c>
      <c r="G280" s="4"/>
      <c r="J280" s="7"/>
    </row>
    <row r="281" s="1" customFormat="1" ht="23" customHeight="1" spans="1:10">
      <c r="A281" s="4">
        <v>279</v>
      </c>
      <c r="B281" s="4" t="str">
        <f>"70010100427"</f>
        <v>70010100427</v>
      </c>
      <c r="C281" s="4" t="str">
        <f t="shared" si="74"/>
        <v>7001</v>
      </c>
      <c r="D281" s="4" t="str">
        <f>"王滨"</f>
        <v>王滨</v>
      </c>
      <c r="E281" s="4" t="str">
        <f t="shared" si="72"/>
        <v>女</v>
      </c>
      <c r="F281" s="5">
        <v>80.284</v>
      </c>
      <c r="G281" s="4"/>
      <c r="J281" s="7"/>
    </row>
    <row r="282" s="1" customFormat="1" ht="23" customHeight="1" spans="1:10">
      <c r="A282" s="4">
        <v>280</v>
      </c>
      <c r="B282" s="4" t="str">
        <f>"70010103009"</f>
        <v>70010103009</v>
      </c>
      <c r="C282" s="4" t="str">
        <f t="shared" si="74"/>
        <v>7001</v>
      </c>
      <c r="D282" s="4" t="str">
        <f>"田丽媛"</f>
        <v>田丽媛</v>
      </c>
      <c r="E282" s="4" t="str">
        <f t="shared" si="72"/>
        <v>女</v>
      </c>
      <c r="F282" s="5">
        <v>80.208</v>
      </c>
      <c r="G282" s="4"/>
      <c r="J282" s="7"/>
    </row>
    <row r="283" s="1" customFormat="1" ht="23" customHeight="1" spans="1:10">
      <c r="A283" s="4">
        <v>281</v>
      </c>
      <c r="B283" s="4" t="str">
        <f>"70010100614"</f>
        <v>70010100614</v>
      </c>
      <c r="C283" s="4" t="str">
        <f t="shared" si="74"/>
        <v>7001</v>
      </c>
      <c r="D283" s="4" t="str">
        <f>"顾芮帆"</f>
        <v>顾芮帆</v>
      </c>
      <c r="E283" s="4" t="str">
        <f t="shared" si="72"/>
        <v>女</v>
      </c>
      <c r="F283" s="5">
        <v>80.152</v>
      </c>
      <c r="G283" s="4"/>
      <c r="J283" s="7"/>
    </row>
    <row r="284" s="1" customFormat="1" ht="23" customHeight="1" spans="1:10">
      <c r="A284" s="4">
        <v>282</v>
      </c>
      <c r="B284" s="4" t="str">
        <f>"70010103004"</f>
        <v>70010103004</v>
      </c>
      <c r="C284" s="4" t="str">
        <f t="shared" si="74"/>
        <v>7001</v>
      </c>
      <c r="D284" s="4" t="str">
        <f>"慕杨柳"</f>
        <v>慕杨柳</v>
      </c>
      <c r="E284" s="4" t="str">
        <f t="shared" si="72"/>
        <v>女</v>
      </c>
      <c r="F284" s="5">
        <v>80.02</v>
      </c>
      <c r="G284" s="4"/>
      <c r="J284" s="7"/>
    </row>
    <row r="285" s="1" customFormat="1" ht="23" customHeight="1" spans="1:10">
      <c r="A285" s="4">
        <v>283</v>
      </c>
      <c r="B285" s="4" t="str">
        <f>"70010104003"</f>
        <v>70010104003</v>
      </c>
      <c r="C285" s="4" t="str">
        <f t="shared" si="74"/>
        <v>7001</v>
      </c>
      <c r="D285" s="4" t="str">
        <f>"王梓羽"</f>
        <v>王梓羽</v>
      </c>
      <c r="E285" s="4" t="str">
        <f t="shared" si="72"/>
        <v>女</v>
      </c>
      <c r="F285" s="5">
        <v>79.958</v>
      </c>
      <c r="G285" s="4"/>
      <c r="I285" s="7"/>
      <c r="J285" s="7"/>
    </row>
    <row r="286" s="1" customFormat="1" ht="23" customHeight="1" spans="1:10">
      <c r="A286" s="4">
        <v>284</v>
      </c>
      <c r="B286" s="4" t="str">
        <f>"70010103215"</f>
        <v>70010103215</v>
      </c>
      <c r="C286" s="4" t="str">
        <f t="shared" si="74"/>
        <v>7001</v>
      </c>
      <c r="D286" s="4" t="str">
        <f>"范文静"</f>
        <v>范文静</v>
      </c>
      <c r="E286" s="4" t="str">
        <f t="shared" si="72"/>
        <v>女</v>
      </c>
      <c r="F286" s="5">
        <v>79.922</v>
      </c>
      <c r="G286" s="4"/>
      <c r="J286" s="7"/>
    </row>
    <row r="287" s="1" customFormat="1" ht="23" customHeight="1" spans="1:10">
      <c r="A287" s="4">
        <v>285</v>
      </c>
      <c r="B287" s="4" t="str">
        <f>"70010102203"</f>
        <v>70010102203</v>
      </c>
      <c r="C287" s="4" t="str">
        <f t="shared" si="74"/>
        <v>7001</v>
      </c>
      <c r="D287" s="4" t="str">
        <f>"党荷婷"</f>
        <v>党荷婷</v>
      </c>
      <c r="E287" s="4" t="str">
        <f t="shared" si="72"/>
        <v>女</v>
      </c>
      <c r="F287" s="5">
        <v>79.91</v>
      </c>
      <c r="G287" s="4"/>
      <c r="J287" s="7"/>
    </row>
    <row r="288" s="1" customFormat="1" ht="23" customHeight="1" spans="1:10">
      <c r="A288" s="4">
        <v>286</v>
      </c>
      <c r="B288" s="4" t="str">
        <f>"70010101528"</f>
        <v>70010101528</v>
      </c>
      <c r="C288" s="4" t="str">
        <f t="shared" si="74"/>
        <v>7001</v>
      </c>
      <c r="D288" s="4" t="str">
        <f>"贾莹"</f>
        <v>贾莹</v>
      </c>
      <c r="E288" s="4" t="str">
        <f t="shared" si="72"/>
        <v>女</v>
      </c>
      <c r="F288" s="5">
        <v>79.666</v>
      </c>
      <c r="G288" s="4"/>
      <c r="J288" s="7"/>
    </row>
    <row r="289" s="1" customFormat="1" ht="23" customHeight="1" spans="1:10">
      <c r="A289" s="4">
        <v>287</v>
      </c>
      <c r="B289" s="4" t="str">
        <f>"70010101808"</f>
        <v>70010101808</v>
      </c>
      <c r="C289" s="4" t="str">
        <f t="shared" si="74"/>
        <v>7001</v>
      </c>
      <c r="D289" s="4" t="str">
        <f>"张悦颖"</f>
        <v>张悦颖</v>
      </c>
      <c r="E289" s="4" t="str">
        <f t="shared" si="72"/>
        <v>女</v>
      </c>
      <c r="F289" s="5">
        <v>79.622</v>
      </c>
      <c r="G289" s="4"/>
      <c r="J289" s="7"/>
    </row>
    <row r="290" s="1" customFormat="1" ht="23" customHeight="1" spans="1:10">
      <c r="A290" s="4">
        <v>288</v>
      </c>
      <c r="B290" s="4" t="str">
        <f>"70010104203"</f>
        <v>70010104203</v>
      </c>
      <c r="C290" s="4" t="str">
        <f t="shared" si="74"/>
        <v>7001</v>
      </c>
      <c r="D290" s="4" t="str">
        <f>"韩金池"</f>
        <v>韩金池</v>
      </c>
      <c r="E290" s="4" t="str">
        <f t="shared" si="72"/>
        <v>女</v>
      </c>
      <c r="F290" s="5">
        <v>79.574</v>
      </c>
      <c r="G290" s="4"/>
      <c r="J290" s="7"/>
    </row>
    <row r="291" s="1" customFormat="1" ht="23" customHeight="1" spans="1:10">
      <c r="A291" s="4">
        <v>289</v>
      </c>
      <c r="B291" s="4" t="str">
        <f>"70010103602"</f>
        <v>70010103602</v>
      </c>
      <c r="C291" s="4" t="str">
        <f t="shared" si="74"/>
        <v>7001</v>
      </c>
      <c r="D291" s="4" t="str">
        <f>"赵朴"</f>
        <v>赵朴</v>
      </c>
      <c r="E291" s="4" t="str">
        <f t="shared" si="72"/>
        <v>女</v>
      </c>
      <c r="F291" s="5">
        <v>79.508</v>
      </c>
      <c r="G291" s="4"/>
      <c r="J291" s="7"/>
    </row>
    <row r="292" s="1" customFormat="1" ht="23" customHeight="1" spans="1:10">
      <c r="A292" s="4">
        <v>290</v>
      </c>
      <c r="B292" s="4" t="str">
        <f>"70010100707"</f>
        <v>70010100707</v>
      </c>
      <c r="C292" s="4" t="str">
        <f t="shared" si="74"/>
        <v>7001</v>
      </c>
      <c r="D292" s="4" t="str">
        <f>"马雪平"</f>
        <v>马雪平</v>
      </c>
      <c r="E292" s="4" t="str">
        <f t="shared" si="72"/>
        <v>女</v>
      </c>
      <c r="F292" s="5">
        <v>79.46</v>
      </c>
      <c r="G292" s="4"/>
      <c r="J292" s="7"/>
    </row>
    <row r="293" s="1" customFormat="1" ht="23" customHeight="1" spans="1:10">
      <c r="A293" s="4">
        <v>291</v>
      </c>
      <c r="B293" s="4" t="str">
        <f>"70010103117"</f>
        <v>70010103117</v>
      </c>
      <c r="C293" s="4" t="str">
        <f t="shared" si="74"/>
        <v>7001</v>
      </c>
      <c r="D293" s="4" t="str">
        <f>"刘洋"</f>
        <v>刘洋</v>
      </c>
      <c r="E293" s="4" t="str">
        <f t="shared" si="72"/>
        <v>女</v>
      </c>
      <c r="F293" s="5">
        <v>79.384</v>
      </c>
      <c r="G293" s="4"/>
      <c r="J293" s="7"/>
    </row>
    <row r="294" s="1" customFormat="1" ht="23" customHeight="1" spans="1:10">
      <c r="A294" s="4">
        <v>292</v>
      </c>
      <c r="B294" s="4" t="str">
        <f>"70010101724"</f>
        <v>70010101724</v>
      </c>
      <c r="C294" s="4" t="str">
        <f t="shared" si="74"/>
        <v>7001</v>
      </c>
      <c r="D294" s="4" t="str">
        <f>"刘晗"</f>
        <v>刘晗</v>
      </c>
      <c r="E294" s="4" t="str">
        <f t="shared" si="72"/>
        <v>女</v>
      </c>
      <c r="F294" s="5">
        <v>79.352</v>
      </c>
      <c r="G294" s="4"/>
      <c r="J294" s="7"/>
    </row>
    <row r="295" s="1" customFormat="1" ht="23" customHeight="1" spans="1:10">
      <c r="A295" s="4">
        <v>293</v>
      </c>
      <c r="B295" s="4" t="str">
        <f>"70010103024"</f>
        <v>70010103024</v>
      </c>
      <c r="C295" s="4" t="str">
        <f t="shared" si="74"/>
        <v>7001</v>
      </c>
      <c r="D295" s="4" t="str">
        <f>"张丽萍"</f>
        <v>张丽萍</v>
      </c>
      <c r="E295" s="4" t="str">
        <f t="shared" si="72"/>
        <v>女</v>
      </c>
      <c r="F295" s="5">
        <v>79.282</v>
      </c>
      <c r="G295" s="4"/>
      <c r="J295" s="7"/>
    </row>
    <row r="296" s="1" customFormat="1" ht="23" customHeight="1" spans="1:10">
      <c r="A296" s="4">
        <v>294</v>
      </c>
      <c r="B296" s="4" t="str">
        <f>"70010101323"</f>
        <v>70010101323</v>
      </c>
      <c r="C296" s="4" t="str">
        <f t="shared" si="74"/>
        <v>7001</v>
      </c>
      <c r="D296" s="4" t="str">
        <f>"冯宇"</f>
        <v>冯宇</v>
      </c>
      <c r="E296" s="4" t="str">
        <f t="shared" si="72"/>
        <v>女</v>
      </c>
      <c r="F296" s="5">
        <v>79.188</v>
      </c>
      <c r="G296" s="4"/>
      <c r="J296" s="7"/>
    </row>
    <row r="297" s="1" customFormat="1" ht="23" customHeight="1" spans="1:10">
      <c r="A297" s="4">
        <v>295</v>
      </c>
      <c r="B297" s="4" t="str">
        <f>"70010103421"</f>
        <v>70010103421</v>
      </c>
      <c r="C297" s="4" t="str">
        <f t="shared" si="74"/>
        <v>7001</v>
      </c>
      <c r="D297" s="4" t="str">
        <f>"乔丹"</f>
        <v>乔丹</v>
      </c>
      <c r="E297" s="4" t="str">
        <f t="shared" si="72"/>
        <v>女</v>
      </c>
      <c r="F297" s="5">
        <v>79.15</v>
      </c>
      <c r="G297" s="4"/>
      <c r="J297" s="7"/>
    </row>
    <row r="298" s="1" customFormat="1" ht="23" customHeight="1" spans="1:10">
      <c r="A298" s="4">
        <v>296</v>
      </c>
      <c r="B298" s="4" t="str">
        <f>"70010104401"</f>
        <v>70010104401</v>
      </c>
      <c r="C298" s="4" t="str">
        <f t="shared" si="74"/>
        <v>7001</v>
      </c>
      <c r="D298" s="4" t="str">
        <f>"季冬雪"</f>
        <v>季冬雪</v>
      </c>
      <c r="E298" s="4" t="str">
        <f t="shared" si="72"/>
        <v>女</v>
      </c>
      <c r="F298" s="5">
        <v>79.146</v>
      </c>
      <c r="G298" s="4"/>
      <c r="J298" s="7"/>
    </row>
    <row r="299" s="1" customFormat="1" ht="23" customHeight="1" spans="1:10">
      <c r="A299" s="4">
        <v>297</v>
      </c>
      <c r="B299" s="4" t="str">
        <f>"70010100622"</f>
        <v>70010100622</v>
      </c>
      <c r="C299" s="4" t="str">
        <f t="shared" si="74"/>
        <v>7001</v>
      </c>
      <c r="D299" s="4" t="str">
        <f>"崔贺云"</f>
        <v>崔贺云</v>
      </c>
      <c r="E299" s="4" t="str">
        <f t="shared" si="72"/>
        <v>女</v>
      </c>
      <c r="F299" s="5">
        <v>79.132</v>
      </c>
      <c r="G299" s="4"/>
      <c r="J299" s="7"/>
    </row>
    <row r="300" s="1" customFormat="1" ht="23" customHeight="1" spans="1:10">
      <c r="A300" s="4">
        <v>298</v>
      </c>
      <c r="B300" s="4" t="str">
        <f>"70010103026"</f>
        <v>70010103026</v>
      </c>
      <c r="C300" s="4" t="str">
        <f t="shared" si="74"/>
        <v>7001</v>
      </c>
      <c r="D300" s="4" t="str">
        <f>"魏雅欣"</f>
        <v>魏雅欣</v>
      </c>
      <c r="E300" s="4" t="str">
        <f t="shared" si="72"/>
        <v>女</v>
      </c>
      <c r="F300" s="5">
        <v>79.108</v>
      </c>
      <c r="G300" s="4"/>
      <c r="J300" s="7"/>
    </row>
    <row r="301" s="1" customFormat="1" ht="23" customHeight="1" spans="1:10">
      <c r="A301" s="4">
        <v>299</v>
      </c>
      <c r="B301" s="4" t="str">
        <f>"70010102616"</f>
        <v>70010102616</v>
      </c>
      <c r="C301" s="4" t="str">
        <f t="shared" si="74"/>
        <v>7001</v>
      </c>
      <c r="D301" s="4" t="str">
        <f>"乔云竹"</f>
        <v>乔云竹</v>
      </c>
      <c r="E301" s="4" t="str">
        <f t="shared" si="72"/>
        <v>女</v>
      </c>
      <c r="F301" s="5">
        <v>79.104</v>
      </c>
      <c r="G301" s="4"/>
      <c r="J301" s="7"/>
    </row>
    <row r="302" s="1" customFormat="1" ht="23" customHeight="1" spans="1:10">
      <c r="A302" s="4">
        <v>300</v>
      </c>
      <c r="B302" s="4" t="str">
        <f>"70010101625"</f>
        <v>70010101625</v>
      </c>
      <c r="C302" s="4" t="str">
        <f t="shared" si="74"/>
        <v>7001</v>
      </c>
      <c r="D302" s="4" t="str">
        <f>"梁莹"</f>
        <v>梁莹</v>
      </c>
      <c r="E302" s="4" t="str">
        <f t="shared" si="72"/>
        <v>女</v>
      </c>
      <c r="F302" s="5">
        <v>79.08</v>
      </c>
      <c r="G302" s="4"/>
      <c r="J302" s="7"/>
    </row>
  </sheetData>
  <mergeCells count="1">
    <mergeCell ref="A1:G1"/>
  </mergeCells>
  <conditionalFormatting sqref="A1">
    <cfRule type="duplicateValues" dxfId="0" priority="95"/>
  </conditionalFormatting>
  <conditionalFormatting sqref="B2">
    <cfRule type="duplicateValues" dxfId="0" priority="94"/>
  </conditionalFormatting>
  <conditionalFormatting sqref="B33">
    <cfRule type="duplicateValues" dxfId="0" priority="2"/>
  </conditionalFormatting>
  <conditionalFormatting sqref="B50">
    <cfRule type="duplicateValues" dxfId="0" priority="84"/>
  </conditionalFormatting>
  <conditionalFormatting sqref="B60">
    <cfRule type="duplicateValues" dxfId="0" priority="79"/>
  </conditionalFormatting>
  <conditionalFormatting sqref="B63">
    <cfRule type="duplicateValues" dxfId="0" priority="75"/>
  </conditionalFormatting>
  <conditionalFormatting sqref="B76">
    <cfRule type="duplicateValues" dxfId="0" priority="77"/>
  </conditionalFormatting>
  <conditionalFormatting sqref="B77">
    <cfRule type="duplicateValues" dxfId="0" priority="76"/>
  </conditionalFormatting>
  <conditionalFormatting sqref="B103">
    <cfRule type="duplicateValues" dxfId="0" priority="69"/>
  </conditionalFormatting>
  <conditionalFormatting sqref="B104">
    <cfRule type="duplicateValues" dxfId="0" priority="68"/>
  </conditionalFormatting>
  <conditionalFormatting sqref="B135">
    <cfRule type="duplicateValues" dxfId="0" priority="62"/>
  </conditionalFormatting>
  <conditionalFormatting sqref="B146">
    <cfRule type="duplicateValues" dxfId="0" priority="58"/>
  </conditionalFormatting>
  <conditionalFormatting sqref="B147">
    <cfRule type="duplicateValues" dxfId="0" priority="57"/>
  </conditionalFormatting>
  <conditionalFormatting sqref="B162">
    <cfRule type="duplicateValues" dxfId="0" priority="52"/>
  </conditionalFormatting>
  <conditionalFormatting sqref="B181">
    <cfRule type="duplicateValues" dxfId="0" priority="45"/>
  </conditionalFormatting>
  <conditionalFormatting sqref="B197">
    <cfRule type="duplicateValues" dxfId="0" priority="39"/>
  </conditionalFormatting>
  <conditionalFormatting sqref="B201">
    <cfRule type="duplicateValues" dxfId="0" priority="40"/>
  </conditionalFormatting>
  <conditionalFormatting sqref="B205">
    <cfRule type="duplicateValues" dxfId="0" priority="37"/>
  </conditionalFormatting>
  <conditionalFormatting sqref="B209">
    <cfRule type="duplicateValues" dxfId="0" priority="35"/>
  </conditionalFormatting>
  <conditionalFormatting sqref="B231">
    <cfRule type="duplicateValues" dxfId="0" priority="28"/>
  </conditionalFormatting>
  <conditionalFormatting sqref="B232">
    <cfRule type="duplicateValues" dxfId="0" priority="25"/>
  </conditionalFormatting>
  <conditionalFormatting sqref="B233">
    <cfRule type="duplicateValues" dxfId="0" priority="24"/>
  </conditionalFormatting>
  <conditionalFormatting sqref="B246">
    <cfRule type="duplicateValues" dxfId="0" priority="21"/>
  </conditionalFormatting>
  <conditionalFormatting sqref="B249">
    <cfRule type="duplicateValues" dxfId="0" priority="19"/>
  </conditionalFormatting>
  <conditionalFormatting sqref="B250">
    <cfRule type="duplicateValues" dxfId="0" priority="18"/>
  </conditionalFormatting>
  <conditionalFormatting sqref="B251">
    <cfRule type="duplicateValues" dxfId="0" priority="17"/>
  </conditionalFormatting>
  <conditionalFormatting sqref="B252">
    <cfRule type="duplicateValues" dxfId="0" priority="16"/>
  </conditionalFormatting>
  <conditionalFormatting sqref="B253">
    <cfRule type="duplicateValues" dxfId="0" priority="15"/>
  </conditionalFormatting>
  <conditionalFormatting sqref="B254">
    <cfRule type="duplicateValues" dxfId="0" priority="14"/>
  </conditionalFormatting>
  <conditionalFormatting sqref="B255">
    <cfRule type="duplicateValues" dxfId="0" priority="11"/>
  </conditionalFormatting>
  <conditionalFormatting sqref="B258">
    <cfRule type="duplicateValues" dxfId="0" priority="12"/>
  </conditionalFormatting>
  <conditionalFormatting sqref="B265">
    <cfRule type="duplicateValues" dxfId="0" priority="1"/>
  </conditionalFormatting>
  <conditionalFormatting sqref="B3:B10">
    <cfRule type="duplicateValues" dxfId="0" priority="93"/>
  </conditionalFormatting>
  <conditionalFormatting sqref="B11:B18">
    <cfRule type="duplicateValues" dxfId="0" priority="92"/>
  </conditionalFormatting>
  <conditionalFormatting sqref="B19:B24">
    <cfRule type="duplicateValues" dxfId="0" priority="91"/>
  </conditionalFormatting>
  <conditionalFormatting sqref="B25:B29">
    <cfRule type="duplicateValues" dxfId="0" priority="90"/>
  </conditionalFormatting>
  <conditionalFormatting sqref="B30:B32">
    <cfRule type="duplicateValues" dxfId="0" priority="89"/>
  </conditionalFormatting>
  <conditionalFormatting sqref="B34:B37">
    <cfRule type="duplicateValues" dxfId="0" priority="88"/>
  </conditionalFormatting>
  <conditionalFormatting sqref="B38:B41">
    <cfRule type="duplicateValues" dxfId="0" priority="87"/>
  </conditionalFormatting>
  <conditionalFormatting sqref="B42:B45">
    <cfRule type="duplicateValues" dxfId="0" priority="86"/>
  </conditionalFormatting>
  <conditionalFormatting sqref="B46:B49">
    <cfRule type="duplicateValues" dxfId="0" priority="85"/>
  </conditionalFormatting>
  <conditionalFormatting sqref="B51:B52">
    <cfRule type="duplicateValues" dxfId="0" priority="83"/>
  </conditionalFormatting>
  <conditionalFormatting sqref="B53:B54">
    <cfRule type="duplicateValues" dxfId="0" priority="82"/>
  </conditionalFormatting>
  <conditionalFormatting sqref="B55:B56">
    <cfRule type="duplicateValues" dxfId="0" priority="81"/>
  </conditionalFormatting>
  <conditionalFormatting sqref="B57:B59">
    <cfRule type="duplicateValues" dxfId="0" priority="80"/>
  </conditionalFormatting>
  <conditionalFormatting sqref="B61:B62">
    <cfRule type="duplicateValues" dxfId="0" priority="78"/>
  </conditionalFormatting>
  <conditionalFormatting sqref="B64:B65">
    <cfRule type="duplicateValues" dxfId="0" priority="74"/>
  </conditionalFormatting>
  <conditionalFormatting sqref="B66:B75">
    <cfRule type="duplicateValues" dxfId="0" priority="73"/>
  </conditionalFormatting>
  <conditionalFormatting sqref="B86:B87">
    <cfRule type="duplicateValues" dxfId="0" priority="71"/>
  </conditionalFormatting>
  <conditionalFormatting sqref="B93:B102">
    <cfRule type="duplicateValues" dxfId="0" priority="70"/>
  </conditionalFormatting>
  <conditionalFormatting sqref="B105:B110">
    <cfRule type="duplicateValues" dxfId="0" priority="67"/>
  </conditionalFormatting>
  <conditionalFormatting sqref="B111:B116">
    <cfRule type="duplicateValues" dxfId="0" priority="66"/>
  </conditionalFormatting>
  <conditionalFormatting sqref="B117:B122">
    <cfRule type="duplicateValues" dxfId="0" priority="65"/>
  </conditionalFormatting>
  <conditionalFormatting sqref="B123:B128">
    <cfRule type="duplicateValues" dxfId="0" priority="64"/>
  </conditionalFormatting>
  <conditionalFormatting sqref="B129:B134">
    <cfRule type="duplicateValues" dxfId="0" priority="63"/>
  </conditionalFormatting>
  <conditionalFormatting sqref="B136:B137">
    <cfRule type="duplicateValues" dxfId="0" priority="61"/>
  </conditionalFormatting>
  <conditionalFormatting sqref="B138:B140">
    <cfRule type="duplicateValues" dxfId="0" priority="60"/>
  </conditionalFormatting>
  <conditionalFormatting sqref="B141:B145">
    <cfRule type="duplicateValues" dxfId="0" priority="59"/>
  </conditionalFormatting>
  <conditionalFormatting sqref="B148:B149">
    <cfRule type="duplicateValues" dxfId="0" priority="56"/>
  </conditionalFormatting>
  <conditionalFormatting sqref="B150:B152">
    <cfRule type="duplicateValues" dxfId="0" priority="55"/>
  </conditionalFormatting>
  <conditionalFormatting sqref="B153:B158">
    <cfRule type="duplicateValues" dxfId="0" priority="54"/>
  </conditionalFormatting>
  <conditionalFormatting sqref="B159:B161">
    <cfRule type="duplicateValues" dxfId="0" priority="53"/>
  </conditionalFormatting>
  <conditionalFormatting sqref="B163:B164">
    <cfRule type="duplicateValues" dxfId="0" priority="51"/>
  </conditionalFormatting>
  <conditionalFormatting sqref="B165:B167">
    <cfRule type="duplicateValues" dxfId="0" priority="50"/>
  </conditionalFormatting>
  <conditionalFormatting sqref="B168:B170">
    <cfRule type="duplicateValues" dxfId="0" priority="49"/>
  </conditionalFormatting>
  <conditionalFormatting sqref="B171:B174">
    <cfRule type="duplicateValues" dxfId="0" priority="48"/>
  </conditionalFormatting>
  <conditionalFormatting sqref="B175:B176">
    <cfRule type="duplicateValues" dxfId="0" priority="47"/>
  </conditionalFormatting>
  <conditionalFormatting sqref="B177:B180">
    <cfRule type="duplicateValues" dxfId="0" priority="46"/>
  </conditionalFormatting>
  <conditionalFormatting sqref="B182:B186">
    <cfRule type="duplicateValues" dxfId="0" priority="44"/>
  </conditionalFormatting>
  <conditionalFormatting sqref="B187:B191">
    <cfRule type="duplicateValues" dxfId="0" priority="43"/>
  </conditionalFormatting>
  <conditionalFormatting sqref="B192:B196">
    <cfRule type="duplicateValues" dxfId="0" priority="42"/>
  </conditionalFormatting>
  <conditionalFormatting sqref="B198:B200">
    <cfRule type="duplicateValues" dxfId="0" priority="41"/>
  </conditionalFormatting>
  <conditionalFormatting sqref="B207:B208">
    <cfRule type="duplicateValues" dxfId="0" priority="36"/>
  </conditionalFormatting>
  <conditionalFormatting sqref="B210:B212">
    <cfRule type="duplicateValues" dxfId="0" priority="34"/>
  </conditionalFormatting>
  <conditionalFormatting sqref="B213:B214">
    <cfRule type="duplicateValues" dxfId="0" priority="33"/>
  </conditionalFormatting>
  <conditionalFormatting sqref="B215:B216">
    <cfRule type="duplicateValues" dxfId="0" priority="32"/>
  </conditionalFormatting>
  <conditionalFormatting sqref="B217:B218">
    <cfRule type="duplicateValues" dxfId="0" priority="31"/>
  </conditionalFormatting>
  <conditionalFormatting sqref="B219:B220">
    <cfRule type="duplicateValues" dxfId="0" priority="30"/>
  </conditionalFormatting>
  <conditionalFormatting sqref="B221:B222">
    <cfRule type="duplicateValues" dxfId="0" priority="29"/>
  </conditionalFormatting>
  <conditionalFormatting sqref="B223:B224">
    <cfRule type="duplicateValues" dxfId="0" priority="27"/>
  </conditionalFormatting>
  <conditionalFormatting sqref="B225:B230">
    <cfRule type="duplicateValues" dxfId="0" priority="26"/>
  </conditionalFormatting>
  <conditionalFormatting sqref="B234:B240">
    <cfRule type="duplicateValues" dxfId="0" priority="23"/>
  </conditionalFormatting>
  <conditionalFormatting sqref="B241:B245">
    <cfRule type="duplicateValues" dxfId="0" priority="22"/>
  </conditionalFormatting>
  <conditionalFormatting sqref="B247:B248">
    <cfRule type="duplicateValues" dxfId="0" priority="20"/>
  </conditionalFormatting>
  <conditionalFormatting sqref="B256:B257">
    <cfRule type="duplicateValues" dxfId="0" priority="13"/>
  </conditionalFormatting>
  <conditionalFormatting sqref="B259:B262">
    <cfRule type="duplicateValues" dxfId="0" priority="10"/>
  </conditionalFormatting>
  <conditionalFormatting sqref="B263:B264">
    <cfRule type="duplicateValues" dxfId="0" priority="9"/>
  </conditionalFormatting>
  <conditionalFormatting sqref="B266:B267">
    <cfRule type="duplicateValues" dxfId="0" priority="7"/>
  </conditionalFormatting>
  <conditionalFormatting sqref="B268:B269">
    <cfRule type="duplicateValues" dxfId="0" priority="6"/>
  </conditionalFormatting>
  <conditionalFormatting sqref="B270:B272">
    <cfRule type="duplicateValues" dxfId="0" priority="5"/>
  </conditionalFormatting>
  <conditionalFormatting sqref="B283:B284">
    <cfRule type="duplicateValues" dxfId="0" priority="3"/>
  </conditionalFormatting>
  <conditionalFormatting sqref="B88:B92 B78:B85">
    <cfRule type="duplicateValues" dxfId="0" priority="72"/>
  </conditionalFormatting>
  <conditionalFormatting sqref="B202:B204 B206">
    <cfRule type="duplicateValues" dxfId="0" priority="38"/>
  </conditionalFormatting>
  <conditionalFormatting sqref="B273:B282 B285:B302">
    <cfRule type="duplicateValues" dxfId="0" priority="4"/>
  </conditionalFormatting>
  <printOptions horizontalCentered="1"/>
  <pageMargins left="0.948611111111111" right="0.554861111111111" top="0.432638888888889" bottom="0.393055555555556" header="0.5" footer="0.30277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OS003</dc:creator>
  <cp:lastModifiedBy>lenovo</cp:lastModifiedBy>
  <dcterms:created xsi:type="dcterms:W3CDTF">2023-08-13T02:29:00Z</dcterms:created>
  <dcterms:modified xsi:type="dcterms:W3CDTF">2023-08-14T09:17:54Z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7E3FB03A62684400BC86930A59B89787_11</vt:lpwstr>
  </property>
  <property fmtid="{D5CDD505-2E9C-101B-9397-08002B2CF9AE}" pid="3" name="KSOProductBuildVer">
    <vt:lpwstr>2052-11.1.0.14309</vt:lpwstr>
  </property>
</Properties>
</file>