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M137" i="1"/>
  <c r="L137"/>
  <c r="K137"/>
  <c r="J137"/>
  <c r="I137"/>
  <c r="H137"/>
  <c r="G137"/>
  <c r="F137"/>
  <c r="E137"/>
  <c r="B137"/>
  <c r="M136"/>
  <c r="L136"/>
  <c r="K136"/>
  <c r="J136"/>
  <c r="I136"/>
  <c r="H136"/>
  <c r="G136"/>
  <c r="F136"/>
  <c r="E136"/>
  <c r="B136"/>
  <c r="M135"/>
  <c r="L135"/>
  <c r="K135"/>
  <c r="J135"/>
  <c r="I135"/>
  <c r="H135"/>
  <c r="G135"/>
  <c r="F135"/>
  <c r="E135"/>
  <c r="B135"/>
  <c r="M134"/>
  <c r="L134"/>
  <c r="K134"/>
  <c r="J134"/>
  <c r="I134"/>
  <c r="H134"/>
  <c r="G134"/>
  <c r="F134"/>
  <c r="E134"/>
  <c r="B134"/>
  <c r="M133"/>
  <c r="L133"/>
  <c r="K133"/>
  <c r="J133"/>
  <c r="I133"/>
  <c r="H133"/>
  <c r="G133"/>
  <c r="F133"/>
  <c r="E133"/>
  <c r="B133"/>
  <c r="M132"/>
  <c r="L132"/>
  <c r="K132"/>
  <c r="J132"/>
  <c r="I132"/>
  <c r="H132"/>
  <c r="G132"/>
  <c r="F132"/>
  <c r="E132"/>
  <c r="B132"/>
  <c r="M131"/>
  <c r="L131"/>
  <c r="K131"/>
  <c r="J131"/>
  <c r="I131"/>
  <c r="H131"/>
  <c r="G131"/>
  <c r="F131"/>
  <c r="E131"/>
  <c r="B131"/>
  <c r="M130"/>
  <c r="L130"/>
  <c r="K130"/>
  <c r="J130"/>
  <c r="I130"/>
  <c r="H130"/>
  <c r="G130"/>
  <c r="F130"/>
  <c r="E130"/>
  <c r="B130"/>
  <c r="M129"/>
  <c r="L129"/>
  <c r="K129"/>
  <c r="J129"/>
  <c r="I129"/>
  <c r="H129"/>
  <c r="G129"/>
  <c r="F129"/>
  <c r="E129"/>
  <c r="B129"/>
  <c r="M128"/>
  <c r="L128"/>
  <c r="K128"/>
  <c r="J128"/>
  <c r="I128"/>
  <c r="H128"/>
  <c r="G128"/>
  <c r="F128"/>
  <c r="E128"/>
  <c r="B128"/>
  <c r="M127"/>
  <c r="L127"/>
  <c r="K127"/>
  <c r="J127"/>
  <c r="I127"/>
  <c r="H127"/>
  <c r="G127"/>
  <c r="F127"/>
  <c r="E127"/>
  <c r="B127"/>
  <c r="M126"/>
  <c r="L126"/>
  <c r="K126"/>
  <c r="J126"/>
  <c r="I126"/>
  <c r="H126"/>
  <c r="G126"/>
  <c r="F126"/>
  <c r="E126"/>
  <c r="B126"/>
  <c r="M125"/>
  <c r="L125"/>
  <c r="K125"/>
  <c r="J125"/>
  <c r="I125"/>
  <c r="H125"/>
  <c r="G125"/>
  <c r="F125"/>
  <c r="E125"/>
  <c r="B125"/>
  <c r="M124"/>
  <c r="L124"/>
  <c r="K124"/>
  <c r="J124"/>
  <c r="I124"/>
  <c r="H124"/>
  <c r="G124"/>
  <c r="F124"/>
  <c r="E124"/>
  <c r="B124"/>
  <c r="M123"/>
  <c r="L123"/>
  <c r="K123"/>
  <c r="J123"/>
  <c r="I123"/>
  <c r="H123"/>
  <c r="G123"/>
  <c r="F123"/>
  <c r="E123"/>
  <c r="B123"/>
  <c r="M122"/>
  <c r="L122"/>
  <c r="K122"/>
  <c r="J122"/>
  <c r="I122"/>
  <c r="H122"/>
  <c r="G122"/>
  <c r="F122"/>
  <c r="E122"/>
  <c r="B122"/>
  <c r="M121"/>
  <c r="L121"/>
  <c r="K121"/>
  <c r="J121"/>
  <c r="I121"/>
  <c r="H121"/>
  <c r="G121"/>
  <c r="F121"/>
  <c r="E121"/>
  <c r="B121"/>
  <c r="M120"/>
  <c r="L120"/>
  <c r="K120"/>
  <c r="J120"/>
  <c r="I120"/>
  <c r="H120"/>
  <c r="G120"/>
  <c r="F120"/>
  <c r="E120"/>
  <c r="B120"/>
  <c r="M119"/>
  <c r="L119"/>
  <c r="K119"/>
  <c r="J119"/>
  <c r="I119"/>
  <c r="H119"/>
  <c r="G119"/>
  <c r="F119"/>
  <c r="E119"/>
  <c r="B119"/>
  <c r="M118"/>
  <c r="L118"/>
  <c r="K118"/>
  <c r="J118"/>
  <c r="I118"/>
  <c r="H118"/>
  <c r="G118"/>
  <c r="F118"/>
  <c r="E118"/>
  <c r="B118"/>
  <c r="M117"/>
  <c r="L117"/>
  <c r="K117"/>
  <c r="J117"/>
  <c r="I117"/>
  <c r="H117"/>
  <c r="G117"/>
  <c r="F117"/>
  <c r="E117"/>
  <c r="B117"/>
  <c r="M116"/>
  <c r="L116"/>
  <c r="K116"/>
  <c r="J116"/>
  <c r="I116"/>
  <c r="H116"/>
  <c r="G116"/>
  <c r="F116"/>
  <c r="E116"/>
  <c r="B116"/>
  <c r="M115"/>
  <c r="L115"/>
  <c r="K115"/>
  <c r="J115"/>
  <c r="I115"/>
  <c r="H115"/>
  <c r="G115"/>
  <c r="F115"/>
  <c r="E115"/>
  <c r="B115"/>
  <c r="M114"/>
  <c r="L114"/>
  <c r="K114"/>
  <c r="J114"/>
  <c r="I114"/>
  <c r="H114"/>
  <c r="G114"/>
  <c r="F114"/>
  <c r="E114"/>
  <c r="B114"/>
  <c r="M113"/>
  <c r="L113"/>
  <c r="K113"/>
  <c r="J113"/>
  <c r="I113"/>
  <c r="H113"/>
  <c r="G113"/>
  <c r="F113"/>
  <c r="E113"/>
  <c r="B113"/>
  <c r="M112"/>
  <c r="L112"/>
  <c r="K112"/>
  <c r="J112"/>
  <c r="I112"/>
  <c r="H112"/>
  <c r="G112"/>
  <c r="F112"/>
  <c r="E112"/>
  <c r="B112"/>
  <c r="M111"/>
  <c r="L111"/>
  <c r="K111"/>
  <c r="J111"/>
  <c r="I111"/>
  <c r="H111"/>
  <c r="G111"/>
  <c r="F111"/>
  <c r="E111"/>
  <c r="B111"/>
  <c r="M110"/>
  <c r="L110"/>
  <c r="K110"/>
  <c r="J110"/>
  <c r="I110"/>
  <c r="H110"/>
  <c r="G110"/>
  <c r="F110"/>
  <c r="E110"/>
  <c r="B110"/>
  <c r="M109"/>
  <c r="L109"/>
  <c r="K109"/>
  <c r="J109"/>
  <c r="I109"/>
  <c r="H109"/>
  <c r="G109"/>
  <c r="F109"/>
  <c r="E109"/>
  <c r="B109"/>
  <c r="M108"/>
  <c r="L108"/>
  <c r="K108"/>
  <c r="J108"/>
  <c r="I108"/>
  <c r="H108"/>
  <c r="G108"/>
  <c r="F108"/>
  <c r="E108"/>
  <c r="B108"/>
  <c r="M107"/>
  <c r="L107"/>
  <c r="K107"/>
  <c r="J107"/>
  <c r="I107"/>
  <c r="H107"/>
  <c r="G107"/>
  <c r="F107"/>
  <c r="E107"/>
  <c r="B107"/>
  <c r="M106"/>
  <c r="L106"/>
  <c r="K106"/>
  <c r="J106"/>
  <c r="I106"/>
  <c r="H106"/>
  <c r="G106"/>
  <c r="F106"/>
  <c r="E106"/>
  <c r="B106"/>
  <c r="M105"/>
  <c r="L105"/>
  <c r="K105"/>
  <c r="J105"/>
  <c r="I105"/>
  <c r="H105"/>
  <c r="G105"/>
  <c r="F105"/>
  <c r="E105"/>
  <c r="B105"/>
  <c r="M104"/>
  <c r="L104"/>
  <c r="K104"/>
  <c r="J104"/>
  <c r="I104"/>
  <c r="H104"/>
  <c r="G104"/>
  <c r="F104"/>
  <c r="E104"/>
  <c r="B104"/>
  <c r="M103"/>
  <c r="L103"/>
  <c r="K103"/>
  <c r="J103"/>
  <c r="I103"/>
  <c r="H103"/>
  <c r="G103"/>
  <c r="F103"/>
  <c r="E103"/>
  <c r="B103"/>
  <c r="M102"/>
  <c r="L102"/>
  <c r="K102"/>
  <c r="J102"/>
  <c r="I102"/>
  <c r="H102"/>
  <c r="G102"/>
  <c r="F102"/>
  <c r="E102"/>
  <c r="B102"/>
  <c r="M101"/>
  <c r="L101"/>
  <c r="K101"/>
  <c r="J101"/>
  <c r="I101"/>
  <c r="H101"/>
  <c r="G101"/>
  <c r="F101"/>
  <c r="E101"/>
  <c r="B101"/>
  <c r="M100"/>
  <c r="L100"/>
  <c r="K100"/>
  <c r="J100"/>
  <c r="I100"/>
  <c r="H100"/>
  <c r="G100"/>
  <c r="F100"/>
  <c r="E100"/>
  <c r="B100"/>
  <c r="M99"/>
  <c r="L99"/>
  <c r="K99"/>
  <c r="J99"/>
  <c r="I99"/>
  <c r="H99"/>
  <c r="G99"/>
  <c r="F99"/>
  <c r="E99"/>
  <c r="B99"/>
  <c r="M98"/>
  <c r="L98"/>
  <c r="K98"/>
  <c r="J98"/>
  <c r="I98"/>
  <c r="H98"/>
  <c r="G98"/>
  <c r="F98"/>
  <c r="E98"/>
  <c r="B98"/>
  <c r="M97"/>
  <c r="L97"/>
  <c r="K97"/>
  <c r="J97"/>
  <c r="I97"/>
  <c r="H97"/>
  <c r="G97"/>
  <c r="F97"/>
  <c r="E97"/>
  <c r="B97"/>
  <c r="M96"/>
  <c r="L96"/>
  <c r="K96"/>
  <c r="J96"/>
  <c r="I96"/>
  <c r="H96"/>
  <c r="G96"/>
  <c r="F96"/>
  <c r="E96"/>
  <c r="B96"/>
  <c r="M95"/>
  <c r="L95"/>
  <c r="K95"/>
  <c r="J95"/>
  <c r="I95"/>
  <c r="H95"/>
  <c r="G95"/>
  <c r="F95"/>
  <c r="E95"/>
  <c r="B95"/>
  <c r="M94"/>
  <c r="L94"/>
  <c r="K94"/>
  <c r="J94"/>
  <c r="I94"/>
  <c r="H94"/>
  <c r="G94"/>
  <c r="F94"/>
  <c r="E94"/>
  <c r="B94"/>
  <c r="M93"/>
  <c r="L93"/>
  <c r="K93"/>
  <c r="J93"/>
  <c r="I93"/>
  <c r="H93"/>
  <c r="G93"/>
  <c r="F93"/>
  <c r="E93"/>
  <c r="B93"/>
  <c r="M92"/>
  <c r="L92"/>
  <c r="K92"/>
  <c r="J92"/>
  <c r="I92"/>
  <c r="H92"/>
  <c r="G92"/>
  <c r="F92"/>
  <c r="E92"/>
  <c r="B92"/>
  <c r="M91"/>
  <c r="L91"/>
  <c r="K91"/>
  <c r="J91"/>
  <c r="I91"/>
  <c r="H91"/>
  <c r="G91"/>
  <c r="F91"/>
  <c r="E91"/>
  <c r="B91"/>
  <c r="M90"/>
  <c r="L90"/>
  <c r="K90"/>
  <c r="J90"/>
  <c r="I90"/>
  <c r="H90"/>
  <c r="G90"/>
  <c r="F90"/>
  <c r="E90"/>
  <c r="B90"/>
  <c r="M89"/>
  <c r="L89"/>
  <c r="K89"/>
  <c r="J89"/>
  <c r="I89"/>
  <c r="H89"/>
  <c r="G89"/>
  <c r="F89"/>
  <c r="E89"/>
  <c r="B89"/>
  <c r="M88"/>
  <c r="L88"/>
  <c r="K88"/>
  <c r="J88"/>
  <c r="I88"/>
  <c r="H88"/>
  <c r="G88"/>
  <c r="F88"/>
  <c r="E88"/>
  <c r="B88"/>
  <c r="M87"/>
  <c r="L87"/>
  <c r="K87"/>
  <c r="J87"/>
  <c r="I87"/>
  <c r="H87"/>
  <c r="G87"/>
  <c r="F87"/>
  <c r="E87"/>
  <c r="B87"/>
  <c r="M86"/>
  <c r="L86"/>
  <c r="K86"/>
  <c r="J86"/>
  <c r="I86"/>
  <c r="H86"/>
  <c r="G86"/>
  <c r="F86"/>
  <c r="E86"/>
  <c r="B86"/>
  <c r="M85"/>
  <c r="L85"/>
  <c r="K85"/>
  <c r="J85"/>
  <c r="I85"/>
  <c r="H85"/>
  <c r="G85"/>
  <c r="F85"/>
  <c r="E85"/>
  <c r="B85"/>
  <c r="M84"/>
  <c r="L84"/>
  <c r="K84"/>
  <c r="J84"/>
  <c r="I84"/>
  <c r="H84"/>
  <c r="G84"/>
  <c r="F84"/>
  <c r="E84"/>
  <c r="B84"/>
  <c r="M83"/>
  <c r="L83"/>
  <c r="K83"/>
  <c r="J83"/>
  <c r="I83"/>
  <c r="H83"/>
  <c r="G83"/>
  <c r="F83"/>
  <c r="E83"/>
  <c r="B83"/>
  <c r="M82"/>
  <c r="L82"/>
  <c r="K82"/>
  <c r="J82"/>
  <c r="I82"/>
  <c r="H82"/>
  <c r="G82"/>
  <c r="F82"/>
  <c r="E82"/>
  <c r="B82"/>
  <c r="M81"/>
  <c r="L81"/>
  <c r="K81"/>
  <c r="J81"/>
  <c r="I81"/>
  <c r="H81"/>
  <c r="G81"/>
  <c r="F81"/>
  <c r="E81"/>
  <c r="B81"/>
  <c r="M80"/>
  <c r="L80"/>
  <c r="K80"/>
  <c r="J80"/>
  <c r="I80"/>
  <c r="H80"/>
  <c r="G80"/>
  <c r="F80"/>
  <c r="E80"/>
  <c r="B80"/>
  <c r="M79"/>
  <c r="L79"/>
  <c r="K79"/>
  <c r="J79"/>
  <c r="I79"/>
  <c r="H79"/>
  <c r="G79"/>
  <c r="F79"/>
  <c r="E79"/>
  <c r="B79"/>
  <c r="M78"/>
  <c r="L78"/>
  <c r="K78"/>
  <c r="J78"/>
  <c r="I78"/>
  <c r="H78"/>
  <c r="G78"/>
  <c r="F78"/>
  <c r="E78"/>
  <c r="B78"/>
  <c r="M77"/>
  <c r="L77"/>
  <c r="K77"/>
  <c r="J77"/>
  <c r="I77"/>
  <c r="H77"/>
  <c r="G77"/>
  <c r="F77"/>
  <c r="E77"/>
  <c r="B77"/>
  <c r="M76"/>
  <c r="L76"/>
  <c r="K76"/>
  <c r="J76"/>
  <c r="I76"/>
  <c r="H76"/>
  <c r="G76"/>
  <c r="F76"/>
  <c r="E76"/>
  <c r="B76"/>
  <c r="M75"/>
  <c r="L75"/>
  <c r="K75"/>
  <c r="J75"/>
  <c r="I75"/>
  <c r="H75"/>
  <c r="G75"/>
  <c r="F75"/>
  <c r="E75"/>
  <c r="B75"/>
  <c r="M74"/>
  <c r="L74"/>
  <c r="K74"/>
  <c r="J74"/>
  <c r="I74"/>
  <c r="H74"/>
  <c r="G74"/>
  <c r="F74"/>
  <c r="E74"/>
  <c r="B74"/>
  <c r="M73"/>
  <c r="L73"/>
  <c r="K73"/>
  <c r="J73"/>
  <c r="I73"/>
  <c r="H73"/>
  <c r="G73"/>
  <c r="F73"/>
  <c r="E73"/>
  <c r="B73"/>
  <c r="M72"/>
  <c r="L72"/>
  <c r="K72"/>
  <c r="J72"/>
  <c r="I72"/>
  <c r="H72"/>
  <c r="G72"/>
  <c r="F72"/>
  <c r="E72"/>
  <c r="B72"/>
  <c r="M71"/>
  <c r="L71"/>
  <c r="K71"/>
  <c r="J71"/>
  <c r="I71"/>
  <c r="H71"/>
  <c r="G71"/>
  <c r="F71"/>
  <c r="E71"/>
  <c r="B71"/>
  <c r="M70"/>
  <c r="L70"/>
  <c r="K70"/>
  <c r="J70"/>
  <c r="I70"/>
  <c r="H70"/>
  <c r="G70"/>
  <c r="F70"/>
  <c r="E70"/>
  <c r="B70"/>
  <c r="M69"/>
  <c r="L69"/>
  <c r="K69"/>
  <c r="J69"/>
  <c r="I69"/>
  <c r="H69"/>
  <c r="G69"/>
  <c r="F69"/>
  <c r="E69"/>
  <c r="B69"/>
  <c r="M68"/>
  <c r="L68"/>
  <c r="K68"/>
  <c r="J68"/>
  <c r="I68"/>
  <c r="H68"/>
  <c r="G68"/>
  <c r="F68"/>
  <c r="E68"/>
  <c r="B68"/>
  <c r="M67"/>
  <c r="L67"/>
  <c r="K67"/>
  <c r="J67"/>
  <c r="I67"/>
  <c r="H67"/>
  <c r="G67"/>
  <c r="F67"/>
  <c r="E67"/>
  <c r="B67"/>
  <c r="M66"/>
  <c r="L66"/>
  <c r="K66"/>
  <c r="J66"/>
  <c r="I66"/>
  <c r="H66"/>
  <c r="G66"/>
  <c r="F66"/>
  <c r="E66"/>
  <c r="B66"/>
  <c r="M65"/>
  <c r="L65"/>
  <c r="K65"/>
  <c r="J65"/>
  <c r="I65"/>
  <c r="H65"/>
  <c r="G65"/>
  <c r="F65"/>
  <c r="E65"/>
  <c r="B65"/>
  <c r="M64"/>
  <c r="L64"/>
  <c r="K64"/>
  <c r="J64"/>
  <c r="I64"/>
  <c r="H64"/>
  <c r="G64"/>
  <c r="F64"/>
  <c r="E64"/>
  <c r="B64"/>
  <c r="M63"/>
  <c r="L63"/>
  <c r="K63"/>
  <c r="J63"/>
  <c r="I63"/>
  <c r="H63"/>
  <c r="G63"/>
  <c r="F63"/>
  <c r="E63"/>
  <c r="B63"/>
  <c r="M62"/>
  <c r="L62"/>
  <c r="K62"/>
  <c r="J62"/>
  <c r="I62"/>
  <c r="H62"/>
  <c r="G62"/>
  <c r="F62"/>
  <c r="E62"/>
  <c r="B62"/>
  <c r="M61"/>
  <c r="L61"/>
  <c r="K61"/>
  <c r="J61"/>
  <c r="I61"/>
  <c r="H61"/>
  <c r="G61"/>
  <c r="F61"/>
  <c r="E61"/>
  <c r="B61"/>
  <c r="M60"/>
  <c r="L60"/>
  <c r="K60"/>
  <c r="J60"/>
  <c r="I60"/>
  <c r="H60"/>
  <c r="G60"/>
  <c r="F60"/>
  <c r="E60"/>
  <c r="B60"/>
  <c r="M59"/>
  <c r="L59"/>
  <c r="K59"/>
  <c r="J59"/>
  <c r="I59"/>
  <c r="H59"/>
  <c r="G59"/>
  <c r="F59"/>
  <c r="E59"/>
  <c r="B59"/>
  <c r="M58"/>
  <c r="L58"/>
  <c r="K58"/>
  <c r="J58"/>
  <c r="I58"/>
  <c r="H58"/>
  <c r="G58"/>
  <c r="F58"/>
  <c r="E58"/>
  <c r="B58"/>
  <c r="M57"/>
  <c r="L57"/>
  <c r="K57"/>
  <c r="J57"/>
  <c r="I57"/>
  <c r="H57"/>
  <c r="G57"/>
  <c r="F57"/>
  <c r="E57"/>
  <c r="B57"/>
  <c r="M56"/>
  <c r="L56"/>
  <c r="K56"/>
  <c r="J56"/>
  <c r="I56"/>
  <c r="H56"/>
  <c r="G56"/>
  <c r="F56"/>
  <c r="E56"/>
  <c r="B56"/>
  <c r="M55"/>
  <c r="L55"/>
  <c r="K55"/>
  <c r="J55"/>
  <c r="I55"/>
  <c r="H55"/>
  <c r="G55"/>
  <c r="F55"/>
  <c r="E55"/>
  <c r="B55"/>
  <c r="M54"/>
  <c r="L54"/>
  <c r="K54"/>
  <c r="J54"/>
  <c r="I54"/>
  <c r="H54"/>
  <c r="G54"/>
  <c r="F54"/>
  <c r="E54"/>
  <c r="B54"/>
  <c r="M53"/>
  <c r="L53"/>
  <c r="K53"/>
  <c r="J53"/>
  <c r="I53"/>
  <c r="H53"/>
  <c r="G53"/>
  <c r="F53"/>
  <c r="E53"/>
  <c r="B53"/>
  <c r="M52"/>
  <c r="L52"/>
  <c r="K52"/>
  <c r="J52"/>
  <c r="I52"/>
  <c r="H52"/>
  <c r="G52"/>
  <c r="F52"/>
  <c r="E52"/>
  <c r="B52"/>
  <c r="M51"/>
  <c r="L51"/>
  <c r="K51"/>
  <c r="J51"/>
  <c r="I51"/>
  <c r="H51"/>
  <c r="G51"/>
  <c r="F51"/>
  <c r="E51"/>
  <c r="B51"/>
  <c r="M50"/>
  <c r="L50"/>
  <c r="K50"/>
  <c r="J50"/>
  <c r="I50"/>
  <c r="H50"/>
  <c r="G50"/>
  <c r="F50"/>
  <c r="E50"/>
  <c r="B50"/>
  <c r="M49"/>
  <c r="L49"/>
  <c r="K49"/>
  <c r="J49"/>
  <c r="I49"/>
  <c r="H49"/>
  <c r="G49"/>
  <c r="F49"/>
  <c r="E49"/>
  <c r="B49"/>
  <c r="M48"/>
  <c r="L48"/>
  <c r="K48"/>
  <c r="J48"/>
  <c r="I48"/>
  <c r="H48"/>
  <c r="G48"/>
  <c r="F48"/>
  <c r="E48"/>
  <c r="B48"/>
  <c r="M47"/>
  <c r="L47"/>
  <c r="K47"/>
  <c r="J47"/>
  <c r="I47"/>
  <c r="H47"/>
  <c r="G47"/>
  <c r="F47"/>
  <c r="E47"/>
  <c r="B47"/>
  <c r="M46"/>
  <c r="L46"/>
  <c r="K46"/>
  <c r="J46"/>
  <c r="I46"/>
  <c r="H46"/>
  <c r="G46"/>
  <c r="F46"/>
  <c r="E46"/>
  <c r="B46"/>
  <c r="M45"/>
  <c r="L45"/>
  <c r="K45"/>
  <c r="J45"/>
  <c r="I45"/>
  <c r="H45"/>
  <c r="G45"/>
  <c r="F45"/>
  <c r="E45"/>
  <c r="B45"/>
  <c r="M44"/>
  <c r="L44"/>
  <c r="K44"/>
  <c r="J44"/>
  <c r="I44"/>
  <c r="H44"/>
  <c r="G44"/>
  <c r="F44"/>
  <c r="E44"/>
  <c r="B44"/>
  <c r="M43"/>
  <c r="L43"/>
  <c r="K43"/>
  <c r="J43"/>
  <c r="I43"/>
  <c r="H43"/>
  <c r="G43"/>
  <c r="F43"/>
  <c r="E43"/>
  <c r="B43"/>
  <c r="M42"/>
  <c r="L42"/>
  <c r="K42"/>
  <c r="J42"/>
  <c r="I42"/>
  <c r="H42"/>
  <c r="G42"/>
  <c r="F42"/>
  <c r="E42"/>
  <c r="B42"/>
  <c r="M41"/>
  <c r="L41"/>
  <c r="K41"/>
  <c r="J41"/>
  <c r="I41"/>
  <c r="H41"/>
  <c r="G41"/>
  <c r="F41"/>
  <c r="E41"/>
  <c r="B41"/>
  <c r="M40"/>
  <c r="L40"/>
  <c r="K40"/>
  <c r="J40"/>
  <c r="I40"/>
  <c r="H40"/>
  <c r="G40"/>
  <c r="F40"/>
  <c r="E40"/>
  <c r="B40"/>
  <c r="M39"/>
  <c r="L39"/>
  <c r="K39"/>
  <c r="J39"/>
  <c r="I39"/>
  <c r="H39"/>
  <c r="G39"/>
  <c r="F39"/>
  <c r="E39"/>
  <c r="B39"/>
  <c r="M38"/>
  <c r="L38"/>
  <c r="K38"/>
  <c r="J38"/>
  <c r="I38"/>
  <c r="H38"/>
  <c r="G38"/>
  <c r="F38"/>
  <c r="E38"/>
  <c r="B38"/>
  <c r="M37"/>
  <c r="L37"/>
  <c r="K37"/>
  <c r="J37"/>
  <c r="I37"/>
  <c r="H37"/>
  <c r="G37"/>
  <c r="F37"/>
  <c r="E37"/>
  <c r="B37"/>
  <c r="M36"/>
  <c r="L36"/>
  <c r="K36"/>
  <c r="J36"/>
  <c r="I36"/>
  <c r="H36"/>
  <c r="G36"/>
  <c r="F36"/>
  <c r="E36"/>
  <c r="B36"/>
  <c r="M35"/>
  <c r="L35"/>
  <c r="K35"/>
  <c r="J35"/>
  <c r="I35"/>
  <c r="H35"/>
  <c r="G35"/>
  <c r="F35"/>
  <c r="E35"/>
  <c r="B35"/>
  <c r="M34"/>
  <c r="L34"/>
  <c r="K34"/>
  <c r="J34"/>
  <c r="I34"/>
  <c r="H34"/>
  <c r="G34"/>
  <c r="F34"/>
  <c r="E34"/>
  <c r="B34"/>
  <c r="M33"/>
  <c r="L33"/>
  <c r="K33"/>
  <c r="J33"/>
  <c r="I33"/>
  <c r="H33"/>
  <c r="G33"/>
  <c r="F33"/>
  <c r="E33"/>
  <c r="B33"/>
  <c r="M32"/>
  <c r="L32"/>
  <c r="K32"/>
  <c r="J32"/>
  <c r="I32"/>
  <c r="H32"/>
  <c r="G32"/>
  <c r="F32"/>
  <c r="E32"/>
  <c r="B32"/>
  <c r="M31"/>
  <c r="L31"/>
  <c r="K31"/>
  <c r="J31"/>
  <c r="I31"/>
  <c r="H31"/>
  <c r="G31"/>
  <c r="F31"/>
  <c r="E31"/>
  <c r="B31"/>
  <c r="M30"/>
  <c r="L30"/>
  <c r="K30"/>
  <c r="J30"/>
  <c r="I30"/>
  <c r="H30"/>
  <c r="G30"/>
  <c r="F30"/>
  <c r="E30"/>
  <c r="B30"/>
  <c r="M29"/>
  <c r="L29"/>
  <c r="K29"/>
  <c r="J29"/>
  <c r="I29"/>
  <c r="H29"/>
  <c r="G29"/>
  <c r="F29"/>
  <c r="E29"/>
  <c r="B29"/>
  <c r="M28"/>
  <c r="L28"/>
  <c r="K28"/>
  <c r="J28"/>
  <c r="I28"/>
  <c r="H28"/>
  <c r="G28"/>
  <c r="F28"/>
  <c r="E28"/>
  <c r="B28"/>
  <c r="M27"/>
  <c r="L27"/>
  <c r="K27"/>
  <c r="J27"/>
  <c r="I27"/>
  <c r="H27"/>
  <c r="G27"/>
  <c r="F27"/>
  <c r="E27"/>
  <c r="B27"/>
  <c r="M26"/>
  <c r="L26"/>
  <c r="K26"/>
  <c r="J26"/>
  <c r="I26"/>
  <c r="H26"/>
  <c r="G26"/>
  <c r="F26"/>
  <c r="E26"/>
  <c r="B26"/>
  <c r="M25"/>
  <c r="L25"/>
  <c r="K25"/>
  <c r="J25"/>
  <c r="I25"/>
  <c r="H25"/>
  <c r="G25"/>
  <c r="F25"/>
  <c r="E25"/>
  <c r="B25"/>
  <c r="M24"/>
  <c r="L24"/>
  <c r="K24"/>
  <c r="J24"/>
  <c r="I24"/>
  <c r="H24"/>
  <c r="G24"/>
  <c r="F24"/>
  <c r="E24"/>
  <c r="B24"/>
  <c r="M23"/>
  <c r="L23"/>
  <c r="K23"/>
  <c r="J23"/>
  <c r="I23"/>
  <c r="H23"/>
  <c r="G23"/>
  <c r="F23"/>
  <c r="E23"/>
  <c r="B23"/>
  <c r="M22"/>
  <c r="L22"/>
  <c r="K22"/>
  <c r="J22"/>
  <c r="I22"/>
  <c r="H22"/>
  <c r="G22"/>
  <c r="F22"/>
  <c r="E22"/>
  <c r="B22"/>
  <c r="M21"/>
  <c r="L21"/>
  <c r="K21"/>
  <c r="J21"/>
  <c r="I21"/>
  <c r="H21"/>
  <c r="G21"/>
  <c r="F21"/>
  <c r="E21"/>
  <c r="B21"/>
  <c r="M20"/>
  <c r="L20"/>
  <c r="K20"/>
  <c r="J20"/>
  <c r="I20"/>
  <c r="H20"/>
  <c r="G20"/>
  <c r="F20"/>
  <c r="E20"/>
  <c r="B20"/>
  <c r="M19"/>
  <c r="L19"/>
  <c r="K19"/>
  <c r="J19"/>
  <c r="I19"/>
  <c r="H19"/>
  <c r="G19"/>
  <c r="F19"/>
  <c r="E19"/>
  <c r="B19"/>
  <c r="M18"/>
  <c r="L18"/>
  <c r="K18"/>
  <c r="J18"/>
  <c r="I18"/>
  <c r="H18"/>
  <c r="G18"/>
  <c r="F18"/>
  <c r="E18"/>
  <c r="B18"/>
  <c r="M17"/>
  <c r="L17"/>
  <c r="K17"/>
  <c r="J17"/>
  <c r="I17"/>
  <c r="H17"/>
  <c r="G17"/>
  <c r="F17"/>
  <c r="E17"/>
  <c r="B17"/>
  <c r="M16"/>
  <c r="L16"/>
  <c r="K16"/>
  <c r="J16"/>
  <c r="I16"/>
  <c r="H16"/>
  <c r="G16"/>
  <c r="F16"/>
  <c r="E16"/>
  <c r="B16"/>
  <c r="M15"/>
  <c r="L15"/>
  <c r="K15"/>
  <c r="J15"/>
  <c r="I15"/>
  <c r="H15"/>
  <c r="G15"/>
  <c r="F15"/>
  <c r="E15"/>
  <c r="B15"/>
  <c r="M14"/>
  <c r="L14"/>
  <c r="K14"/>
  <c r="J14"/>
  <c r="I14"/>
  <c r="H14"/>
  <c r="G14"/>
  <c r="F14"/>
  <c r="E14"/>
  <c r="B14"/>
  <c r="M13"/>
  <c r="L13"/>
  <c r="K13"/>
  <c r="J13"/>
  <c r="I13"/>
  <c r="H13"/>
  <c r="G13"/>
  <c r="F13"/>
  <c r="E13"/>
  <c r="B13"/>
  <c r="M12"/>
  <c r="L12"/>
  <c r="K12"/>
  <c r="J12"/>
  <c r="I12"/>
  <c r="H12"/>
  <c r="G12"/>
  <c r="F12"/>
  <c r="E12"/>
  <c r="B12"/>
  <c r="M11"/>
  <c r="L11"/>
  <c r="K11"/>
  <c r="J11"/>
  <c r="I11"/>
  <c r="H11"/>
  <c r="G11"/>
  <c r="F11"/>
  <c r="E11"/>
  <c r="B11"/>
  <c r="M10"/>
  <c r="L10"/>
  <c r="K10"/>
  <c r="J10"/>
  <c r="I10"/>
  <c r="H10"/>
  <c r="G10"/>
  <c r="F10"/>
  <c r="E10"/>
  <c r="B10"/>
  <c r="M9"/>
  <c r="L9"/>
  <c r="K9"/>
  <c r="J9"/>
  <c r="I9"/>
  <c r="H9"/>
  <c r="G9"/>
  <c r="F9"/>
  <c r="E9"/>
  <c r="B9"/>
  <c r="M8"/>
  <c r="L8"/>
  <c r="K8"/>
  <c r="J8"/>
  <c r="I8"/>
  <c r="H8"/>
  <c r="G8"/>
  <c r="F8"/>
  <c r="E8"/>
  <c r="B8"/>
  <c r="M7"/>
  <c r="L7"/>
  <c r="K7"/>
  <c r="J7"/>
  <c r="I7"/>
  <c r="H7"/>
  <c r="G7"/>
  <c r="F7"/>
  <c r="E7"/>
  <c r="B7"/>
  <c r="M6"/>
  <c r="L6"/>
  <c r="K6"/>
  <c r="J6"/>
  <c r="I6"/>
  <c r="H6"/>
  <c r="G6"/>
  <c r="F6"/>
  <c r="E6"/>
  <c r="B6"/>
  <c r="M5"/>
  <c r="L5"/>
  <c r="K5"/>
  <c r="J5"/>
  <c r="I5"/>
  <c r="H5"/>
  <c r="G5"/>
  <c r="F5"/>
  <c r="E5"/>
  <c r="B5"/>
  <c r="M4"/>
  <c r="L4"/>
  <c r="K4"/>
  <c r="J4"/>
  <c r="I4"/>
  <c r="H4"/>
  <c r="G4"/>
  <c r="F4"/>
  <c r="E4"/>
  <c r="B4"/>
  <c r="M3"/>
  <c r="L3"/>
  <c r="K3"/>
  <c r="J3"/>
  <c r="I3"/>
  <c r="H3"/>
  <c r="G3"/>
  <c r="F3"/>
  <c r="E3"/>
  <c r="B3"/>
</calcChain>
</file>

<file path=xl/sharedStrings.xml><?xml version="1.0" encoding="utf-8"?>
<sst xmlns="http://schemas.openxmlformats.org/spreadsheetml/2006/main" count="419" uniqueCount="24">
  <si>
    <t>考试类型</t>
    <phoneticPr fontId="2" type="noConversion"/>
  </si>
  <si>
    <t>岗位代码</t>
  </si>
  <si>
    <t>岗位名称</t>
  </si>
  <si>
    <t>招聘单位</t>
  </si>
  <si>
    <t>姓名</t>
  </si>
  <si>
    <t>性别</t>
  </si>
  <si>
    <t>民族</t>
  </si>
  <si>
    <t>出生年月</t>
  </si>
  <si>
    <t>政治面貌</t>
  </si>
  <si>
    <t>毕业学校</t>
  </si>
  <si>
    <t>所学专业</t>
  </si>
  <si>
    <t>学历</t>
  </si>
  <si>
    <t>学位</t>
  </si>
  <si>
    <t>笔试</t>
    <phoneticPr fontId="2" type="noConversion"/>
  </si>
  <si>
    <t>语文教师</t>
  </si>
  <si>
    <t>咸丰县第一中学</t>
  </si>
  <si>
    <t>数学教师</t>
  </si>
  <si>
    <t>英语教师</t>
  </si>
  <si>
    <t>物理教师</t>
  </si>
  <si>
    <t>化学教师</t>
  </si>
  <si>
    <t>面试</t>
    <phoneticPr fontId="2" type="noConversion"/>
  </si>
  <si>
    <t>政治教师</t>
  </si>
  <si>
    <t>历史教师</t>
  </si>
  <si>
    <t>2024年咸丰县第一中学专项公开招聘高中教师测试人员名单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</si>
</sst>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topLeftCell="A130" workbookViewId="0">
      <selection activeCell="D2" sqref="D1:D1048576"/>
    </sheetView>
  </sheetViews>
  <sheetFormatPr defaultRowHeight="13.5"/>
  <cols>
    <col min="1" max="1" width="6" style="7" customWidth="1"/>
    <col min="2" max="2" width="6.125" style="7" customWidth="1"/>
    <col min="3" max="3" width="9.75" style="8" customWidth="1"/>
    <col min="4" max="4" width="8.75" style="7" customWidth="1"/>
    <col min="5" max="5" width="8.125" style="7" customWidth="1"/>
    <col min="6" max="6" width="5" style="7" customWidth="1"/>
    <col min="7" max="7" width="7.25" style="7" customWidth="1"/>
    <col min="8" max="8" width="6.875" style="7" customWidth="1"/>
    <col min="9" max="9" width="5.75" style="7" customWidth="1"/>
    <col min="10" max="10" width="9.75" style="7" customWidth="1"/>
    <col min="11" max="11" width="9.625" style="7" customWidth="1"/>
    <col min="12" max="12" width="7.5" style="7" customWidth="1"/>
    <col min="13" max="13" width="5.875" style="7" customWidth="1"/>
    <col min="247" max="247" width="11.875" customWidth="1"/>
    <col min="250" max="250" width="12.25" customWidth="1"/>
    <col min="262" max="262" width="13.25" customWidth="1"/>
    <col min="265" max="265" width="18" customWidth="1"/>
    <col min="266" max="266" width="25" customWidth="1"/>
    <col min="503" max="503" width="11.875" customWidth="1"/>
    <col min="506" max="506" width="12.25" customWidth="1"/>
    <col min="518" max="518" width="13.25" customWidth="1"/>
    <col min="521" max="521" width="18" customWidth="1"/>
    <col min="522" max="522" width="25" customWidth="1"/>
    <col min="759" max="759" width="11.875" customWidth="1"/>
    <col min="762" max="762" width="12.25" customWidth="1"/>
    <col min="774" max="774" width="13.25" customWidth="1"/>
    <col min="777" max="777" width="18" customWidth="1"/>
    <col min="778" max="778" width="25" customWidth="1"/>
    <col min="1015" max="1015" width="11.875" customWidth="1"/>
    <col min="1018" max="1018" width="12.25" customWidth="1"/>
    <col min="1030" max="1030" width="13.25" customWidth="1"/>
    <col min="1033" max="1033" width="18" customWidth="1"/>
    <col min="1034" max="1034" width="25" customWidth="1"/>
    <col min="1271" max="1271" width="11.875" customWidth="1"/>
    <col min="1274" max="1274" width="12.25" customWidth="1"/>
    <col min="1286" max="1286" width="13.25" customWidth="1"/>
    <col min="1289" max="1289" width="18" customWidth="1"/>
    <col min="1290" max="1290" width="25" customWidth="1"/>
    <col min="1527" max="1527" width="11.875" customWidth="1"/>
    <col min="1530" max="1530" width="12.25" customWidth="1"/>
    <col min="1542" max="1542" width="13.25" customWidth="1"/>
    <col min="1545" max="1545" width="18" customWidth="1"/>
    <col min="1546" max="1546" width="25" customWidth="1"/>
    <col min="1783" max="1783" width="11.875" customWidth="1"/>
    <col min="1786" max="1786" width="12.25" customWidth="1"/>
    <col min="1798" max="1798" width="13.25" customWidth="1"/>
    <col min="1801" max="1801" width="18" customWidth="1"/>
    <col min="1802" max="1802" width="25" customWidth="1"/>
    <col min="2039" max="2039" width="11.875" customWidth="1"/>
    <col min="2042" max="2042" width="12.25" customWidth="1"/>
    <col min="2054" max="2054" width="13.25" customWidth="1"/>
    <col min="2057" max="2057" width="18" customWidth="1"/>
    <col min="2058" max="2058" width="25" customWidth="1"/>
    <col min="2295" max="2295" width="11.875" customWidth="1"/>
    <col min="2298" max="2298" width="12.25" customWidth="1"/>
    <col min="2310" max="2310" width="13.25" customWidth="1"/>
    <col min="2313" max="2313" width="18" customWidth="1"/>
    <col min="2314" max="2314" width="25" customWidth="1"/>
    <col min="2551" max="2551" width="11.875" customWidth="1"/>
    <col min="2554" max="2554" width="12.25" customWidth="1"/>
    <col min="2566" max="2566" width="13.25" customWidth="1"/>
    <col min="2569" max="2569" width="18" customWidth="1"/>
    <col min="2570" max="2570" width="25" customWidth="1"/>
    <col min="2807" max="2807" width="11.875" customWidth="1"/>
    <col min="2810" max="2810" width="12.25" customWidth="1"/>
    <col min="2822" max="2822" width="13.25" customWidth="1"/>
    <col min="2825" max="2825" width="18" customWidth="1"/>
    <col min="2826" max="2826" width="25" customWidth="1"/>
    <col min="3063" max="3063" width="11.875" customWidth="1"/>
    <col min="3066" max="3066" width="12.25" customWidth="1"/>
    <col min="3078" max="3078" width="13.25" customWidth="1"/>
    <col min="3081" max="3081" width="18" customWidth="1"/>
    <col min="3082" max="3082" width="25" customWidth="1"/>
    <col min="3319" max="3319" width="11.875" customWidth="1"/>
    <col min="3322" max="3322" width="12.25" customWidth="1"/>
    <col min="3334" max="3334" width="13.25" customWidth="1"/>
    <col min="3337" max="3337" width="18" customWidth="1"/>
    <col min="3338" max="3338" width="25" customWidth="1"/>
    <col min="3575" max="3575" width="11.875" customWidth="1"/>
    <col min="3578" max="3578" width="12.25" customWidth="1"/>
    <col min="3590" max="3590" width="13.25" customWidth="1"/>
    <col min="3593" max="3593" width="18" customWidth="1"/>
    <col min="3594" max="3594" width="25" customWidth="1"/>
    <col min="3831" max="3831" width="11.875" customWidth="1"/>
    <col min="3834" max="3834" width="12.25" customWidth="1"/>
    <col min="3846" max="3846" width="13.25" customWidth="1"/>
    <col min="3849" max="3849" width="18" customWidth="1"/>
    <col min="3850" max="3850" width="25" customWidth="1"/>
    <col min="4087" max="4087" width="11.875" customWidth="1"/>
    <col min="4090" max="4090" width="12.25" customWidth="1"/>
    <col min="4102" max="4102" width="13.25" customWidth="1"/>
    <col min="4105" max="4105" width="18" customWidth="1"/>
    <col min="4106" max="4106" width="25" customWidth="1"/>
    <col min="4343" max="4343" width="11.875" customWidth="1"/>
    <col min="4346" max="4346" width="12.25" customWidth="1"/>
    <col min="4358" max="4358" width="13.25" customWidth="1"/>
    <col min="4361" max="4361" width="18" customWidth="1"/>
    <col min="4362" max="4362" width="25" customWidth="1"/>
    <col min="4599" max="4599" width="11.875" customWidth="1"/>
    <col min="4602" max="4602" width="12.25" customWidth="1"/>
    <col min="4614" max="4614" width="13.25" customWidth="1"/>
    <col min="4617" max="4617" width="18" customWidth="1"/>
    <col min="4618" max="4618" width="25" customWidth="1"/>
    <col min="4855" max="4855" width="11.875" customWidth="1"/>
    <col min="4858" max="4858" width="12.25" customWidth="1"/>
    <col min="4870" max="4870" width="13.25" customWidth="1"/>
    <col min="4873" max="4873" width="18" customWidth="1"/>
    <col min="4874" max="4874" width="25" customWidth="1"/>
    <col min="5111" max="5111" width="11.875" customWidth="1"/>
    <col min="5114" max="5114" width="12.25" customWidth="1"/>
    <col min="5126" max="5126" width="13.25" customWidth="1"/>
    <col min="5129" max="5129" width="18" customWidth="1"/>
    <col min="5130" max="5130" width="25" customWidth="1"/>
    <col min="5367" max="5367" width="11.875" customWidth="1"/>
    <col min="5370" max="5370" width="12.25" customWidth="1"/>
    <col min="5382" max="5382" width="13.25" customWidth="1"/>
    <col min="5385" max="5385" width="18" customWidth="1"/>
    <col min="5386" max="5386" width="25" customWidth="1"/>
    <col min="5623" max="5623" width="11.875" customWidth="1"/>
    <col min="5626" max="5626" width="12.25" customWidth="1"/>
    <col min="5638" max="5638" width="13.25" customWidth="1"/>
    <col min="5641" max="5641" width="18" customWidth="1"/>
    <col min="5642" max="5642" width="25" customWidth="1"/>
    <col min="5879" max="5879" width="11.875" customWidth="1"/>
    <col min="5882" max="5882" width="12.25" customWidth="1"/>
    <col min="5894" max="5894" width="13.25" customWidth="1"/>
    <col min="5897" max="5897" width="18" customWidth="1"/>
    <col min="5898" max="5898" width="25" customWidth="1"/>
    <col min="6135" max="6135" width="11.875" customWidth="1"/>
    <col min="6138" max="6138" width="12.25" customWidth="1"/>
    <col min="6150" max="6150" width="13.25" customWidth="1"/>
    <col min="6153" max="6153" width="18" customWidth="1"/>
    <col min="6154" max="6154" width="25" customWidth="1"/>
    <col min="6391" max="6391" width="11.875" customWidth="1"/>
    <col min="6394" max="6394" width="12.25" customWidth="1"/>
    <col min="6406" max="6406" width="13.25" customWidth="1"/>
    <col min="6409" max="6409" width="18" customWidth="1"/>
    <col min="6410" max="6410" width="25" customWidth="1"/>
    <col min="6647" max="6647" width="11.875" customWidth="1"/>
    <col min="6650" max="6650" width="12.25" customWidth="1"/>
    <col min="6662" max="6662" width="13.25" customWidth="1"/>
    <col min="6665" max="6665" width="18" customWidth="1"/>
    <col min="6666" max="6666" width="25" customWidth="1"/>
    <col min="6903" max="6903" width="11.875" customWidth="1"/>
    <col min="6906" max="6906" width="12.25" customWidth="1"/>
    <col min="6918" max="6918" width="13.25" customWidth="1"/>
    <col min="6921" max="6921" width="18" customWidth="1"/>
    <col min="6922" max="6922" width="25" customWidth="1"/>
    <col min="7159" max="7159" width="11.875" customWidth="1"/>
    <col min="7162" max="7162" width="12.25" customWidth="1"/>
    <col min="7174" max="7174" width="13.25" customWidth="1"/>
    <col min="7177" max="7177" width="18" customWidth="1"/>
    <col min="7178" max="7178" width="25" customWidth="1"/>
    <col min="7415" max="7415" width="11.875" customWidth="1"/>
    <col min="7418" max="7418" width="12.25" customWidth="1"/>
    <col min="7430" max="7430" width="13.25" customWidth="1"/>
    <col min="7433" max="7433" width="18" customWidth="1"/>
    <col min="7434" max="7434" width="25" customWidth="1"/>
    <col min="7671" max="7671" width="11.875" customWidth="1"/>
    <col min="7674" max="7674" width="12.25" customWidth="1"/>
    <col min="7686" max="7686" width="13.25" customWidth="1"/>
    <col min="7689" max="7689" width="18" customWidth="1"/>
    <col min="7690" max="7690" width="25" customWidth="1"/>
    <col min="7927" max="7927" width="11.875" customWidth="1"/>
    <col min="7930" max="7930" width="12.25" customWidth="1"/>
    <col min="7942" max="7942" width="13.25" customWidth="1"/>
    <col min="7945" max="7945" width="18" customWidth="1"/>
    <col min="7946" max="7946" width="25" customWidth="1"/>
    <col min="8183" max="8183" width="11.875" customWidth="1"/>
    <col min="8186" max="8186" width="12.25" customWidth="1"/>
    <col min="8198" max="8198" width="13.25" customWidth="1"/>
    <col min="8201" max="8201" width="18" customWidth="1"/>
    <col min="8202" max="8202" width="25" customWidth="1"/>
    <col min="8439" max="8439" width="11.875" customWidth="1"/>
    <col min="8442" max="8442" width="12.25" customWidth="1"/>
    <col min="8454" max="8454" width="13.25" customWidth="1"/>
    <col min="8457" max="8457" width="18" customWidth="1"/>
    <col min="8458" max="8458" width="25" customWidth="1"/>
    <col min="8695" max="8695" width="11.875" customWidth="1"/>
    <col min="8698" max="8698" width="12.25" customWidth="1"/>
    <col min="8710" max="8710" width="13.25" customWidth="1"/>
    <col min="8713" max="8713" width="18" customWidth="1"/>
    <col min="8714" max="8714" width="25" customWidth="1"/>
    <col min="8951" max="8951" width="11.875" customWidth="1"/>
    <col min="8954" max="8954" width="12.25" customWidth="1"/>
    <col min="8966" max="8966" width="13.25" customWidth="1"/>
    <col min="8969" max="8969" width="18" customWidth="1"/>
    <col min="8970" max="8970" width="25" customWidth="1"/>
    <col min="9207" max="9207" width="11.875" customWidth="1"/>
    <col min="9210" max="9210" width="12.25" customWidth="1"/>
    <col min="9222" max="9222" width="13.25" customWidth="1"/>
    <col min="9225" max="9225" width="18" customWidth="1"/>
    <col min="9226" max="9226" width="25" customWidth="1"/>
    <col min="9463" max="9463" width="11.875" customWidth="1"/>
    <col min="9466" max="9466" width="12.25" customWidth="1"/>
    <col min="9478" max="9478" width="13.25" customWidth="1"/>
    <col min="9481" max="9481" width="18" customWidth="1"/>
    <col min="9482" max="9482" width="25" customWidth="1"/>
    <col min="9719" max="9719" width="11.875" customWidth="1"/>
    <col min="9722" max="9722" width="12.25" customWidth="1"/>
    <col min="9734" max="9734" width="13.25" customWidth="1"/>
    <col min="9737" max="9737" width="18" customWidth="1"/>
    <col min="9738" max="9738" width="25" customWidth="1"/>
    <col min="9975" max="9975" width="11.875" customWidth="1"/>
    <col min="9978" max="9978" width="12.25" customWidth="1"/>
    <col min="9990" max="9990" width="13.25" customWidth="1"/>
    <col min="9993" max="9993" width="18" customWidth="1"/>
    <col min="9994" max="9994" width="25" customWidth="1"/>
    <col min="10231" max="10231" width="11.875" customWidth="1"/>
    <col min="10234" max="10234" width="12.25" customWidth="1"/>
    <col min="10246" max="10246" width="13.25" customWidth="1"/>
    <col min="10249" max="10249" width="18" customWidth="1"/>
    <col min="10250" max="10250" width="25" customWidth="1"/>
    <col min="10487" max="10487" width="11.875" customWidth="1"/>
    <col min="10490" max="10490" width="12.25" customWidth="1"/>
    <col min="10502" max="10502" width="13.25" customWidth="1"/>
    <col min="10505" max="10505" width="18" customWidth="1"/>
    <col min="10506" max="10506" width="25" customWidth="1"/>
    <col min="10743" max="10743" width="11.875" customWidth="1"/>
    <col min="10746" max="10746" width="12.25" customWidth="1"/>
    <col min="10758" max="10758" width="13.25" customWidth="1"/>
    <col min="10761" max="10761" width="18" customWidth="1"/>
    <col min="10762" max="10762" width="25" customWidth="1"/>
    <col min="10999" max="10999" width="11.875" customWidth="1"/>
    <col min="11002" max="11002" width="12.25" customWidth="1"/>
    <col min="11014" max="11014" width="13.25" customWidth="1"/>
    <col min="11017" max="11017" width="18" customWidth="1"/>
    <col min="11018" max="11018" width="25" customWidth="1"/>
    <col min="11255" max="11255" width="11.875" customWidth="1"/>
    <col min="11258" max="11258" width="12.25" customWidth="1"/>
    <col min="11270" max="11270" width="13.25" customWidth="1"/>
    <col min="11273" max="11273" width="18" customWidth="1"/>
    <col min="11274" max="11274" width="25" customWidth="1"/>
    <col min="11511" max="11511" width="11.875" customWidth="1"/>
    <col min="11514" max="11514" width="12.25" customWidth="1"/>
    <col min="11526" max="11526" width="13.25" customWidth="1"/>
    <col min="11529" max="11529" width="18" customWidth="1"/>
    <col min="11530" max="11530" width="25" customWidth="1"/>
    <col min="11767" max="11767" width="11.875" customWidth="1"/>
    <col min="11770" max="11770" width="12.25" customWidth="1"/>
    <col min="11782" max="11782" width="13.25" customWidth="1"/>
    <col min="11785" max="11785" width="18" customWidth="1"/>
    <col min="11786" max="11786" width="25" customWidth="1"/>
    <col min="12023" max="12023" width="11.875" customWidth="1"/>
    <col min="12026" max="12026" width="12.25" customWidth="1"/>
    <col min="12038" max="12038" width="13.25" customWidth="1"/>
    <col min="12041" max="12041" width="18" customWidth="1"/>
    <col min="12042" max="12042" width="25" customWidth="1"/>
    <col min="12279" max="12279" width="11.875" customWidth="1"/>
    <col min="12282" max="12282" width="12.25" customWidth="1"/>
    <col min="12294" max="12294" width="13.25" customWidth="1"/>
    <col min="12297" max="12297" width="18" customWidth="1"/>
    <col min="12298" max="12298" width="25" customWidth="1"/>
    <col min="12535" max="12535" width="11.875" customWidth="1"/>
    <col min="12538" max="12538" width="12.25" customWidth="1"/>
    <col min="12550" max="12550" width="13.25" customWidth="1"/>
    <col min="12553" max="12553" width="18" customWidth="1"/>
    <col min="12554" max="12554" width="25" customWidth="1"/>
    <col min="12791" max="12791" width="11.875" customWidth="1"/>
    <col min="12794" max="12794" width="12.25" customWidth="1"/>
    <col min="12806" max="12806" width="13.25" customWidth="1"/>
    <col min="12809" max="12809" width="18" customWidth="1"/>
    <col min="12810" max="12810" width="25" customWidth="1"/>
    <col min="13047" max="13047" width="11.875" customWidth="1"/>
    <col min="13050" max="13050" width="12.25" customWidth="1"/>
    <col min="13062" max="13062" width="13.25" customWidth="1"/>
    <col min="13065" max="13065" width="18" customWidth="1"/>
    <col min="13066" max="13066" width="25" customWidth="1"/>
    <col min="13303" max="13303" width="11.875" customWidth="1"/>
    <col min="13306" max="13306" width="12.25" customWidth="1"/>
    <col min="13318" max="13318" width="13.25" customWidth="1"/>
    <col min="13321" max="13321" width="18" customWidth="1"/>
    <col min="13322" max="13322" width="25" customWidth="1"/>
    <col min="13559" max="13559" width="11.875" customWidth="1"/>
    <col min="13562" max="13562" width="12.25" customWidth="1"/>
    <col min="13574" max="13574" width="13.25" customWidth="1"/>
    <col min="13577" max="13577" width="18" customWidth="1"/>
    <col min="13578" max="13578" width="25" customWidth="1"/>
    <col min="13815" max="13815" width="11.875" customWidth="1"/>
    <col min="13818" max="13818" width="12.25" customWidth="1"/>
    <col min="13830" max="13830" width="13.25" customWidth="1"/>
    <col min="13833" max="13833" width="18" customWidth="1"/>
    <col min="13834" max="13834" width="25" customWidth="1"/>
    <col min="14071" max="14071" width="11.875" customWidth="1"/>
    <col min="14074" max="14074" width="12.25" customWidth="1"/>
    <col min="14086" max="14086" width="13.25" customWidth="1"/>
    <col min="14089" max="14089" width="18" customWidth="1"/>
    <col min="14090" max="14090" width="25" customWidth="1"/>
    <col min="14327" max="14327" width="11.875" customWidth="1"/>
    <col min="14330" max="14330" width="12.25" customWidth="1"/>
    <col min="14342" max="14342" width="13.25" customWidth="1"/>
    <col min="14345" max="14345" width="18" customWidth="1"/>
    <col min="14346" max="14346" width="25" customWidth="1"/>
    <col min="14583" max="14583" width="11.875" customWidth="1"/>
    <col min="14586" max="14586" width="12.25" customWidth="1"/>
    <col min="14598" max="14598" width="13.25" customWidth="1"/>
    <col min="14601" max="14601" width="18" customWidth="1"/>
    <col min="14602" max="14602" width="25" customWidth="1"/>
    <col min="14839" max="14839" width="11.875" customWidth="1"/>
    <col min="14842" max="14842" width="12.25" customWidth="1"/>
    <col min="14854" max="14854" width="13.25" customWidth="1"/>
    <col min="14857" max="14857" width="18" customWidth="1"/>
    <col min="14858" max="14858" width="25" customWidth="1"/>
    <col min="15095" max="15095" width="11.875" customWidth="1"/>
    <col min="15098" max="15098" width="12.25" customWidth="1"/>
    <col min="15110" max="15110" width="13.25" customWidth="1"/>
    <col min="15113" max="15113" width="18" customWidth="1"/>
    <col min="15114" max="15114" width="25" customWidth="1"/>
    <col min="15351" max="15351" width="11.875" customWidth="1"/>
    <col min="15354" max="15354" width="12.25" customWidth="1"/>
    <col min="15366" max="15366" width="13.25" customWidth="1"/>
    <col min="15369" max="15369" width="18" customWidth="1"/>
    <col min="15370" max="15370" width="25" customWidth="1"/>
    <col min="15607" max="15607" width="11.875" customWidth="1"/>
    <col min="15610" max="15610" width="12.25" customWidth="1"/>
    <col min="15622" max="15622" width="13.25" customWidth="1"/>
    <col min="15625" max="15625" width="18" customWidth="1"/>
    <col min="15626" max="15626" width="25" customWidth="1"/>
    <col min="15863" max="15863" width="11.875" customWidth="1"/>
    <col min="15866" max="15866" width="12.25" customWidth="1"/>
    <col min="15878" max="15878" width="13.25" customWidth="1"/>
    <col min="15881" max="15881" width="18" customWidth="1"/>
    <col min="15882" max="15882" width="25" customWidth="1"/>
    <col min="16119" max="16119" width="11.875" customWidth="1"/>
    <col min="16122" max="16122" width="12.25" customWidth="1"/>
    <col min="16134" max="16134" width="13.25" customWidth="1"/>
    <col min="16137" max="16137" width="18" customWidth="1"/>
    <col min="16138" max="16138" width="25" customWidth="1"/>
  </cols>
  <sheetData>
    <row r="1" spans="1:13" ht="36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2" customFormat="1" ht="36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s="1" customFormat="1" ht="36" customHeight="1">
      <c r="A3" s="5" t="s">
        <v>13</v>
      </c>
      <c r="B3" s="5" t="str">
        <f t="shared" ref="B3:B19" si="0">"YZ2024001"</f>
        <v>YZ2024001</v>
      </c>
      <c r="C3" s="6" t="s">
        <v>14</v>
      </c>
      <c r="D3" s="5" t="s">
        <v>15</v>
      </c>
      <c r="E3" s="5" t="str">
        <f>"李燕"</f>
        <v>李燕</v>
      </c>
      <c r="F3" s="5" t="str">
        <f>"女"</f>
        <v>女</v>
      </c>
      <c r="G3" s="5" t="str">
        <f>"汉族"</f>
        <v>汉族</v>
      </c>
      <c r="H3" s="5" t="str">
        <f>"1999-06-20"</f>
        <v>1999-06-20</v>
      </c>
      <c r="I3" s="5" t="str">
        <f>"中共党员"</f>
        <v>中共党员</v>
      </c>
      <c r="J3" s="5" t="str">
        <f>"湖北师范大学"</f>
        <v>湖北师范大学</v>
      </c>
      <c r="K3" s="5" t="str">
        <f>"学科教学（语文）"</f>
        <v>学科教学（语文）</v>
      </c>
      <c r="L3" s="5" t="str">
        <f t="shared" ref="L3:L19" si="1">"硕士研究生"</f>
        <v>硕士研究生</v>
      </c>
      <c r="M3" s="5" t="str">
        <f t="shared" ref="M3:M19" si="2">"硕士"</f>
        <v>硕士</v>
      </c>
    </row>
    <row r="4" spans="1:13" s="1" customFormat="1" ht="36" customHeight="1">
      <c r="A4" s="5" t="s">
        <v>13</v>
      </c>
      <c r="B4" s="5" t="str">
        <f t="shared" si="0"/>
        <v>YZ2024001</v>
      </c>
      <c r="C4" s="6" t="s">
        <v>14</v>
      </c>
      <c r="D4" s="5" t="s">
        <v>15</v>
      </c>
      <c r="E4" s="5" t="str">
        <f>"杨世娇"</f>
        <v>杨世娇</v>
      </c>
      <c r="F4" s="5" t="str">
        <f>"女"</f>
        <v>女</v>
      </c>
      <c r="G4" s="5" t="str">
        <f>"侗族"</f>
        <v>侗族</v>
      </c>
      <c r="H4" s="5" t="str">
        <f>"1999-07-28"</f>
        <v>1999-07-28</v>
      </c>
      <c r="I4" s="5" t="str">
        <f t="shared" ref="I4:I9" si="3">"共青团员"</f>
        <v>共青团员</v>
      </c>
      <c r="J4" s="5" t="str">
        <f>"湖北大学"</f>
        <v>湖北大学</v>
      </c>
      <c r="K4" s="5" t="str">
        <f>"学科教学（语文）"</f>
        <v>学科教学（语文）</v>
      </c>
      <c r="L4" s="5" t="str">
        <f t="shared" si="1"/>
        <v>硕士研究生</v>
      </c>
      <c r="M4" s="5" t="str">
        <f t="shared" si="2"/>
        <v>硕士</v>
      </c>
    </row>
    <row r="5" spans="1:13" s="1" customFormat="1" ht="36" customHeight="1">
      <c r="A5" s="5" t="s">
        <v>13</v>
      </c>
      <c r="B5" s="5" t="str">
        <f t="shared" si="0"/>
        <v>YZ2024001</v>
      </c>
      <c r="C5" s="6" t="s">
        <v>14</v>
      </c>
      <c r="D5" s="5" t="s">
        <v>15</v>
      </c>
      <c r="E5" s="5" t="str">
        <f>"杨小芳"</f>
        <v>杨小芳</v>
      </c>
      <c r="F5" s="5" t="str">
        <f>"女"</f>
        <v>女</v>
      </c>
      <c r="G5" s="5" t="str">
        <f t="shared" ref="G5:G16" si="4">"土家族"</f>
        <v>土家族</v>
      </c>
      <c r="H5" s="5" t="str">
        <f>"1998-10-15"</f>
        <v>1998-10-15</v>
      </c>
      <c r="I5" s="5" t="str">
        <f t="shared" si="3"/>
        <v>共青团员</v>
      </c>
      <c r="J5" s="5" t="str">
        <f>"湖北大学"</f>
        <v>湖北大学</v>
      </c>
      <c r="K5" s="5" t="str">
        <f>"中国语言文学"</f>
        <v>中国语言文学</v>
      </c>
      <c r="L5" s="5" t="str">
        <f t="shared" si="1"/>
        <v>硕士研究生</v>
      </c>
      <c r="M5" s="5" t="str">
        <f t="shared" si="2"/>
        <v>硕士</v>
      </c>
    </row>
    <row r="6" spans="1:13" s="1" customFormat="1" ht="36" customHeight="1">
      <c r="A6" s="5" t="s">
        <v>13</v>
      </c>
      <c r="B6" s="5" t="str">
        <f t="shared" si="0"/>
        <v>YZ2024001</v>
      </c>
      <c r="C6" s="6" t="s">
        <v>14</v>
      </c>
      <c r="D6" s="5" t="s">
        <v>15</v>
      </c>
      <c r="E6" s="5" t="str">
        <f>"谭时亮"</f>
        <v>谭时亮</v>
      </c>
      <c r="F6" s="5" t="str">
        <f>"男"</f>
        <v>男</v>
      </c>
      <c r="G6" s="5" t="str">
        <f t="shared" si="4"/>
        <v>土家族</v>
      </c>
      <c r="H6" s="5" t="str">
        <f>"1999-09-16"</f>
        <v>1999-09-16</v>
      </c>
      <c r="I6" s="5" t="str">
        <f t="shared" si="3"/>
        <v>共青团员</v>
      </c>
      <c r="J6" s="5" t="str">
        <f>"湖北民族大学"</f>
        <v>湖北民族大学</v>
      </c>
      <c r="K6" s="5" t="str">
        <f>"中国古代文学"</f>
        <v>中国古代文学</v>
      </c>
      <c r="L6" s="5" t="str">
        <f t="shared" si="1"/>
        <v>硕士研究生</v>
      </c>
      <c r="M6" s="5" t="str">
        <f t="shared" si="2"/>
        <v>硕士</v>
      </c>
    </row>
    <row r="7" spans="1:13" s="1" customFormat="1" ht="36" customHeight="1">
      <c r="A7" s="5" t="s">
        <v>13</v>
      </c>
      <c r="B7" s="5" t="str">
        <f t="shared" si="0"/>
        <v>YZ2024001</v>
      </c>
      <c r="C7" s="6" t="s">
        <v>14</v>
      </c>
      <c r="D7" s="5" t="s">
        <v>15</v>
      </c>
      <c r="E7" s="5" t="str">
        <f>"黄晶"</f>
        <v>黄晶</v>
      </c>
      <c r="F7" s="5" t="str">
        <f t="shared" ref="F7:F19" si="5">"女"</f>
        <v>女</v>
      </c>
      <c r="G7" s="5" t="str">
        <f t="shared" si="4"/>
        <v>土家族</v>
      </c>
      <c r="H7" s="5" t="str">
        <f>"1999-11-13"</f>
        <v>1999-11-13</v>
      </c>
      <c r="I7" s="5" t="str">
        <f t="shared" si="3"/>
        <v>共青团员</v>
      </c>
      <c r="J7" s="5" t="str">
        <f>"中央民族大学"</f>
        <v>中央民族大学</v>
      </c>
      <c r="K7" s="5" t="str">
        <f>"学科教学（语文）"</f>
        <v>学科教学（语文）</v>
      </c>
      <c r="L7" s="5" t="str">
        <f t="shared" si="1"/>
        <v>硕士研究生</v>
      </c>
      <c r="M7" s="5" t="str">
        <f t="shared" si="2"/>
        <v>硕士</v>
      </c>
    </row>
    <row r="8" spans="1:13" s="1" customFormat="1" ht="36" customHeight="1">
      <c r="A8" s="5" t="s">
        <v>13</v>
      </c>
      <c r="B8" s="5" t="str">
        <f t="shared" si="0"/>
        <v>YZ2024001</v>
      </c>
      <c r="C8" s="6" t="s">
        <v>14</v>
      </c>
      <c r="D8" s="5" t="s">
        <v>15</v>
      </c>
      <c r="E8" s="5" t="str">
        <f>"黄文英"</f>
        <v>黄文英</v>
      </c>
      <c r="F8" s="5" t="str">
        <f t="shared" si="5"/>
        <v>女</v>
      </c>
      <c r="G8" s="5" t="str">
        <f t="shared" si="4"/>
        <v>土家族</v>
      </c>
      <c r="H8" s="5" t="str">
        <f>"1999-01-26"</f>
        <v>1999-01-26</v>
      </c>
      <c r="I8" s="5" t="str">
        <f t="shared" si="3"/>
        <v>共青团员</v>
      </c>
      <c r="J8" s="5" t="str">
        <f>"宁夏大学"</f>
        <v>宁夏大学</v>
      </c>
      <c r="K8" s="5" t="str">
        <f>"学科教学语文"</f>
        <v>学科教学语文</v>
      </c>
      <c r="L8" s="5" t="str">
        <f t="shared" si="1"/>
        <v>硕士研究生</v>
      </c>
      <c r="M8" s="5" t="str">
        <f t="shared" si="2"/>
        <v>硕士</v>
      </c>
    </row>
    <row r="9" spans="1:13" s="1" customFormat="1" ht="36" customHeight="1">
      <c r="A9" s="5" t="s">
        <v>13</v>
      </c>
      <c r="B9" s="5" t="str">
        <f t="shared" si="0"/>
        <v>YZ2024001</v>
      </c>
      <c r="C9" s="6" t="s">
        <v>14</v>
      </c>
      <c r="D9" s="5" t="s">
        <v>15</v>
      </c>
      <c r="E9" s="5" t="str">
        <f>"黄代华"</f>
        <v>黄代华</v>
      </c>
      <c r="F9" s="5" t="str">
        <f t="shared" si="5"/>
        <v>女</v>
      </c>
      <c r="G9" s="5" t="str">
        <f t="shared" si="4"/>
        <v>土家族</v>
      </c>
      <c r="H9" s="5" t="str">
        <f>"1998-02-14"</f>
        <v>1998-02-14</v>
      </c>
      <c r="I9" s="5" t="str">
        <f t="shared" si="3"/>
        <v>共青团员</v>
      </c>
      <c r="J9" s="5" t="str">
        <f>"天津师范大学"</f>
        <v>天津师范大学</v>
      </c>
      <c r="K9" s="5" t="str">
        <f>"汉语国际教育"</f>
        <v>汉语国际教育</v>
      </c>
      <c r="L9" s="5" t="str">
        <f t="shared" si="1"/>
        <v>硕士研究生</v>
      </c>
      <c r="M9" s="5" t="str">
        <f t="shared" si="2"/>
        <v>硕士</v>
      </c>
    </row>
    <row r="10" spans="1:13" s="1" customFormat="1" ht="36" customHeight="1">
      <c r="A10" s="5" t="s">
        <v>13</v>
      </c>
      <c r="B10" s="5" t="str">
        <f t="shared" si="0"/>
        <v>YZ2024001</v>
      </c>
      <c r="C10" s="6" t="s">
        <v>14</v>
      </c>
      <c r="D10" s="5" t="s">
        <v>15</v>
      </c>
      <c r="E10" s="5" t="str">
        <f>"杨欣睿"</f>
        <v>杨欣睿</v>
      </c>
      <c r="F10" s="5" t="str">
        <f t="shared" si="5"/>
        <v>女</v>
      </c>
      <c r="G10" s="5" t="str">
        <f t="shared" si="4"/>
        <v>土家族</v>
      </c>
      <c r="H10" s="5" t="str">
        <f>"1999-06-20"</f>
        <v>1999-06-20</v>
      </c>
      <c r="I10" s="5" t="str">
        <f>"中共党员"</f>
        <v>中共党员</v>
      </c>
      <c r="J10" s="5" t="str">
        <f>"阜阳师范大学"</f>
        <v>阜阳师范大学</v>
      </c>
      <c r="K10" s="5" t="str">
        <f>"学科教学（语文）"</f>
        <v>学科教学（语文）</v>
      </c>
      <c r="L10" s="5" t="str">
        <f t="shared" si="1"/>
        <v>硕士研究生</v>
      </c>
      <c r="M10" s="5" t="str">
        <f t="shared" si="2"/>
        <v>硕士</v>
      </c>
    </row>
    <row r="11" spans="1:13" s="1" customFormat="1" ht="36" customHeight="1">
      <c r="A11" s="5" t="s">
        <v>13</v>
      </c>
      <c r="B11" s="5" t="str">
        <f t="shared" si="0"/>
        <v>YZ2024001</v>
      </c>
      <c r="C11" s="6" t="s">
        <v>14</v>
      </c>
      <c r="D11" s="5" t="s">
        <v>15</v>
      </c>
      <c r="E11" s="5" t="str">
        <f>"田洪"</f>
        <v>田洪</v>
      </c>
      <c r="F11" s="5" t="str">
        <f t="shared" si="5"/>
        <v>女</v>
      </c>
      <c r="G11" s="5" t="str">
        <f t="shared" si="4"/>
        <v>土家族</v>
      </c>
      <c r="H11" s="5" t="str">
        <f>"1998-08-31"</f>
        <v>1998-08-31</v>
      </c>
      <c r="I11" s="5" t="str">
        <f>"中共党员"</f>
        <v>中共党员</v>
      </c>
      <c r="J11" s="5" t="str">
        <f>"中南财经政法大学"</f>
        <v>中南财经政法大学</v>
      </c>
      <c r="K11" s="5" t="str">
        <f>"中国现当代文学"</f>
        <v>中国现当代文学</v>
      </c>
      <c r="L11" s="5" t="str">
        <f t="shared" si="1"/>
        <v>硕士研究生</v>
      </c>
      <c r="M11" s="5" t="str">
        <f t="shared" si="2"/>
        <v>硕士</v>
      </c>
    </row>
    <row r="12" spans="1:13" s="1" customFormat="1" ht="36" customHeight="1">
      <c r="A12" s="5" t="s">
        <v>13</v>
      </c>
      <c r="B12" s="5" t="str">
        <f t="shared" si="0"/>
        <v>YZ2024001</v>
      </c>
      <c r="C12" s="6" t="s">
        <v>14</v>
      </c>
      <c r="D12" s="5" t="s">
        <v>15</v>
      </c>
      <c r="E12" s="5" t="str">
        <f>"冉丽琼"</f>
        <v>冉丽琼</v>
      </c>
      <c r="F12" s="5" t="str">
        <f t="shared" si="5"/>
        <v>女</v>
      </c>
      <c r="G12" s="5" t="str">
        <f t="shared" si="4"/>
        <v>土家族</v>
      </c>
      <c r="H12" s="5" t="str">
        <f>"1998-05-04"</f>
        <v>1998-05-04</v>
      </c>
      <c r="I12" s="5" t="str">
        <f>"共青团员"</f>
        <v>共青团员</v>
      </c>
      <c r="J12" s="5" t="str">
        <f>"长江大学"</f>
        <v>长江大学</v>
      </c>
      <c r="K12" s="5" t="str">
        <f>"比较文学与世界文学"</f>
        <v>比较文学与世界文学</v>
      </c>
      <c r="L12" s="5" t="str">
        <f t="shared" si="1"/>
        <v>硕士研究生</v>
      </c>
      <c r="M12" s="5" t="str">
        <f t="shared" si="2"/>
        <v>硕士</v>
      </c>
    </row>
    <row r="13" spans="1:13" s="1" customFormat="1" ht="36" customHeight="1">
      <c r="A13" s="5" t="s">
        <v>13</v>
      </c>
      <c r="B13" s="5" t="str">
        <f t="shared" si="0"/>
        <v>YZ2024001</v>
      </c>
      <c r="C13" s="6" t="s">
        <v>14</v>
      </c>
      <c r="D13" s="5" t="s">
        <v>15</v>
      </c>
      <c r="E13" s="5" t="str">
        <f>"杨许恩"</f>
        <v>杨许恩</v>
      </c>
      <c r="F13" s="5" t="str">
        <f t="shared" si="5"/>
        <v>女</v>
      </c>
      <c r="G13" s="5" t="str">
        <f t="shared" si="4"/>
        <v>土家族</v>
      </c>
      <c r="H13" s="5" t="str">
        <f>"1994-11-18"</f>
        <v>1994-11-18</v>
      </c>
      <c r="I13" s="5" t="str">
        <f>"群众"</f>
        <v>群众</v>
      </c>
      <c r="J13" s="5" t="str">
        <f>"中央民族大学"</f>
        <v>中央民族大学</v>
      </c>
      <c r="K13" s="5" t="str">
        <f>"汉语国际教育"</f>
        <v>汉语国际教育</v>
      </c>
      <c r="L13" s="5" t="str">
        <f t="shared" si="1"/>
        <v>硕士研究生</v>
      </c>
      <c r="M13" s="5" t="str">
        <f t="shared" si="2"/>
        <v>硕士</v>
      </c>
    </row>
    <row r="14" spans="1:13" s="1" customFormat="1" ht="36" customHeight="1">
      <c r="A14" s="5" t="s">
        <v>13</v>
      </c>
      <c r="B14" s="5" t="str">
        <f t="shared" si="0"/>
        <v>YZ2024001</v>
      </c>
      <c r="C14" s="6" t="s">
        <v>14</v>
      </c>
      <c r="D14" s="5" t="s">
        <v>15</v>
      </c>
      <c r="E14" s="5" t="str">
        <f>"李倩"</f>
        <v>李倩</v>
      </c>
      <c r="F14" s="5" t="str">
        <f t="shared" si="5"/>
        <v>女</v>
      </c>
      <c r="G14" s="5" t="str">
        <f t="shared" si="4"/>
        <v>土家族</v>
      </c>
      <c r="H14" s="5" t="str">
        <f>"1996-12-12"</f>
        <v>1996-12-12</v>
      </c>
      <c r="I14" s="5" t="str">
        <f>"共青团员"</f>
        <v>共青团员</v>
      </c>
      <c r="J14" s="5" t="str">
        <f>"辽宁大学"</f>
        <v>辽宁大学</v>
      </c>
      <c r="K14" s="5" t="str">
        <f>"中国古代文学"</f>
        <v>中国古代文学</v>
      </c>
      <c r="L14" s="5" t="str">
        <f t="shared" si="1"/>
        <v>硕士研究生</v>
      </c>
      <c r="M14" s="5" t="str">
        <f t="shared" si="2"/>
        <v>硕士</v>
      </c>
    </row>
    <row r="15" spans="1:13" s="1" customFormat="1" ht="36" customHeight="1">
      <c r="A15" s="5" t="s">
        <v>13</v>
      </c>
      <c r="B15" s="5" t="str">
        <f t="shared" si="0"/>
        <v>YZ2024001</v>
      </c>
      <c r="C15" s="6" t="s">
        <v>14</v>
      </c>
      <c r="D15" s="5" t="s">
        <v>15</v>
      </c>
      <c r="E15" s="5" t="str">
        <f>"吴思其"</f>
        <v>吴思其</v>
      </c>
      <c r="F15" s="5" t="str">
        <f t="shared" si="5"/>
        <v>女</v>
      </c>
      <c r="G15" s="5" t="str">
        <f t="shared" si="4"/>
        <v>土家族</v>
      </c>
      <c r="H15" s="5" t="str">
        <f>"1996-08-10"</f>
        <v>1996-08-10</v>
      </c>
      <c r="I15" s="5" t="str">
        <f>"共青团员"</f>
        <v>共青团员</v>
      </c>
      <c r="J15" s="5" t="str">
        <f>"西华师范大学"</f>
        <v>西华师范大学</v>
      </c>
      <c r="K15" s="5" t="str">
        <f>"学科教学（语文）"</f>
        <v>学科教学（语文）</v>
      </c>
      <c r="L15" s="5" t="str">
        <f t="shared" si="1"/>
        <v>硕士研究生</v>
      </c>
      <c r="M15" s="5" t="str">
        <f t="shared" si="2"/>
        <v>硕士</v>
      </c>
    </row>
    <row r="16" spans="1:13" s="1" customFormat="1" ht="36" customHeight="1">
      <c r="A16" s="5" t="s">
        <v>13</v>
      </c>
      <c r="B16" s="5" t="str">
        <f t="shared" si="0"/>
        <v>YZ2024001</v>
      </c>
      <c r="C16" s="6" t="s">
        <v>14</v>
      </c>
      <c r="D16" s="5" t="s">
        <v>15</v>
      </c>
      <c r="E16" s="5" t="str">
        <f>"刘昶"</f>
        <v>刘昶</v>
      </c>
      <c r="F16" s="5" t="str">
        <f t="shared" si="5"/>
        <v>女</v>
      </c>
      <c r="G16" s="5" t="str">
        <f t="shared" si="4"/>
        <v>土家族</v>
      </c>
      <c r="H16" s="5" t="str">
        <f>"1999-02-16"</f>
        <v>1999-02-16</v>
      </c>
      <c r="I16" s="5" t="str">
        <f>"中共预备党员"</f>
        <v>中共预备党员</v>
      </c>
      <c r="J16" s="5" t="str">
        <f>"湖北大学"</f>
        <v>湖北大学</v>
      </c>
      <c r="K16" s="5" t="str">
        <f>"学科教学（语文）"</f>
        <v>学科教学（语文）</v>
      </c>
      <c r="L16" s="5" t="str">
        <f t="shared" si="1"/>
        <v>硕士研究生</v>
      </c>
      <c r="M16" s="5" t="str">
        <f t="shared" si="2"/>
        <v>硕士</v>
      </c>
    </row>
    <row r="17" spans="1:13" s="1" customFormat="1" ht="36" customHeight="1">
      <c r="A17" s="5" t="s">
        <v>13</v>
      </c>
      <c r="B17" s="5" t="str">
        <f t="shared" si="0"/>
        <v>YZ2024001</v>
      </c>
      <c r="C17" s="6" t="s">
        <v>14</v>
      </c>
      <c r="D17" s="5" t="s">
        <v>15</v>
      </c>
      <c r="E17" s="5" t="str">
        <f>"陈秀枝"</f>
        <v>陈秀枝</v>
      </c>
      <c r="F17" s="5" t="str">
        <f t="shared" si="5"/>
        <v>女</v>
      </c>
      <c r="G17" s="5" t="str">
        <f>"苗族"</f>
        <v>苗族</v>
      </c>
      <c r="H17" s="5" t="str">
        <f>"1993-08-17"</f>
        <v>1993-08-17</v>
      </c>
      <c r="I17" s="5" t="str">
        <f>"中共党员"</f>
        <v>中共党员</v>
      </c>
      <c r="J17" s="5" t="str">
        <f>"陕西师范大学"</f>
        <v>陕西师范大学</v>
      </c>
      <c r="K17" s="5" t="str">
        <f>"中国古代文学"</f>
        <v>中国古代文学</v>
      </c>
      <c r="L17" s="5" t="str">
        <f t="shared" si="1"/>
        <v>硕士研究生</v>
      </c>
      <c r="M17" s="5" t="str">
        <f t="shared" si="2"/>
        <v>硕士</v>
      </c>
    </row>
    <row r="18" spans="1:13" s="1" customFormat="1" ht="36" customHeight="1">
      <c r="A18" s="5" t="s">
        <v>13</v>
      </c>
      <c r="B18" s="5" t="str">
        <f t="shared" si="0"/>
        <v>YZ2024001</v>
      </c>
      <c r="C18" s="6" t="s">
        <v>14</v>
      </c>
      <c r="D18" s="5" t="s">
        <v>15</v>
      </c>
      <c r="E18" s="5" t="str">
        <f>"向珊珊"</f>
        <v>向珊珊</v>
      </c>
      <c r="F18" s="5" t="str">
        <f t="shared" si="5"/>
        <v>女</v>
      </c>
      <c r="G18" s="5" t="str">
        <f>"土家族"</f>
        <v>土家族</v>
      </c>
      <c r="H18" s="5" t="str">
        <f>"1995-10-22"</f>
        <v>1995-10-22</v>
      </c>
      <c r="I18" s="5" t="str">
        <f>"共青团员"</f>
        <v>共青团员</v>
      </c>
      <c r="J18" s="5" t="str">
        <f>"重庆交通大学"</f>
        <v>重庆交通大学</v>
      </c>
      <c r="K18" s="5" t="str">
        <f>"汉语国际教育"</f>
        <v>汉语国际教育</v>
      </c>
      <c r="L18" s="5" t="str">
        <f t="shared" si="1"/>
        <v>硕士研究生</v>
      </c>
      <c r="M18" s="5" t="str">
        <f t="shared" si="2"/>
        <v>硕士</v>
      </c>
    </row>
    <row r="19" spans="1:13" s="1" customFormat="1" ht="36" customHeight="1">
      <c r="A19" s="5" t="s">
        <v>13</v>
      </c>
      <c r="B19" s="5" t="str">
        <f t="shared" si="0"/>
        <v>YZ2024001</v>
      </c>
      <c r="C19" s="6" t="s">
        <v>14</v>
      </c>
      <c r="D19" s="5" t="s">
        <v>15</v>
      </c>
      <c r="E19" s="5" t="str">
        <f>"潘娅琴"</f>
        <v>潘娅琴</v>
      </c>
      <c r="F19" s="5" t="str">
        <f t="shared" si="5"/>
        <v>女</v>
      </c>
      <c r="G19" s="5" t="str">
        <f>"土家族"</f>
        <v>土家族</v>
      </c>
      <c r="H19" s="5" t="str">
        <f>"1998-06-17"</f>
        <v>1998-06-17</v>
      </c>
      <c r="I19" s="5" t="str">
        <f>"共青团员"</f>
        <v>共青团员</v>
      </c>
      <c r="J19" s="5" t="str">
        <f>"沈阳师范大学"</f>
        <v>沈阳师范大学</v>
      </c>
      <c r="K19" s="5" t="str">
        <f>"汉语国际教育"</f>
        <v>汉语国际教育</v>
      </c>
      <c r="L19" s="5" t="str">
        <f t="shared" si="1"/>
        <v>硕士研究生</v>
      </c>
      <c r="M19" s="5" t="str">
        <f t="shared" si="2"/>
        <v>硕士</v>
      </c>
    </row>
    <row r="20" spans="1:13" s="1" customFormat="1" ht="36" customHeight="1">
      <c r="A20" s="5" t="s">
        <v>13</v>
      </c>
      <c r="B20" s="5" t="str">
        <f t="shared" ref="B20:B38" si="6">"YZ2024002"</f>
        <v>YZ2024002</v>
      </c>
      <c r="C20" s="6" t="s">
        <v>16</v>
      </c>
      <c r="D20" s="5" t="s">
        <v>15</v>
      </c>
      <c r="E20" s="5" t="str">
        <f>"袁忠庆"</f>
        <v>袁忠庆</v>
      </c>
      <c r="F20" s="5" t="str">
        <f>"男"</f>
        <v>男</v>
      </c>
      <c r="G20" s="5" t="str">
        <f>"汉族"</f>
        <v>汉族</v>
      </c>
      <c r="H20" s="5" t="str">
        <f>"1996-03-11"</f>
        <v>1996-03-11</v>
      </c>
      <c r="I20" s="5" t="str">
        <f>"群众"</f>
        <v>群众</v>
      </c>
      <c r="J20" s="5" t="str">
        <f>"湖北民族大学"</f>
        <v>湖北民族大学</v>
      </c>
      <c r="K20" s="5" t="str">
        <f t="shared" ref="K20:K29" si="7">"数学与应用数学"</f>
        <v>数学与应用数学</v>
      </c>
      <c r="L20" s="5" t="str">
        <f t="shared" ref="L20:L33" si="8">"本科"</f>
        <v>本科</v>
      </c>
      <c r="M20" s="5" t="str">
        <f t="shared" ref="M20:M33" si="9">"学士"</f>
        <v>学士</v>
      </c>
    </row>
    <row r="21" spans="1:13" s="1" customFormat="1" ht="36" customHeight="1">
      <c r="A21" s="5" t="s">
        <v>13</v>
      </c>
      <c r="B21" s="5" t="str">
        <f t="shared" si="6"/>
        <v>YZ2024002</v>
      </c>
      <c r="C21" s="6" t="s">
        <v>16</v>
      </c>
      <c r="D21" s="5" t="s">
        <v>15</v>
      </c>
      <c r="E21" s="5" t="str">
        <f>"王胜"</f>
        <v>王胜</v>
      </c>
      <c r="F21" s="5" t="str">
        <f>"男"</f>
        <v>男</v>
      </c>
      <c r="G21" s="5" t="str">
        <f>"汉族"</f>
        <v>汉族</v>
      </c>
      <c r="H21" s="5" t="str">
        <f>"1998-07-13"</f>
        <v>1998-07-13</v>
      </c>
      <c r="I21" s="5" t="str">
        <f>"共青团员"</f>
        <v>共青团员</v>
      </c>
      <c r="J21" s="5" t="str">
        <f>"湖北民族大学"</f>
        <v>湖北民族大学</v>
      </c>
      <c r="K21" s="5" t="str">
        <f t="shared" si="7"/>
        <v>数学与应用数学</v>
      </c>
      <c r="L21" s="5" t="str">
        <f t="shared" si="8"/>
        <v>本科</v>
      </c>
      <c r="M21" s="5" t="str">
        <f t="shared" si="9"/>
        <v>学士</v>
      </c>
    </row>
    <row r="22" spans="1:13" s="1" customFormat="1" ht="36" customHeight="1">
      <c r="A22" s="5" t="s">
        <v>13</v>
      </c>
      <c r="B22" s="5" t="str">
        <f t="shared" si="6"/>
        <v>YZ2024002</v>
      </c>
      <c r="C22" s="6" t="s">
        <v>16</v>
      </c>
      <c r="D22" s="5" t="s">
        <v>15</v>
      </c>
      <c r="E22" s="5" t="str">
        <f>"彭召兵"</f>
        <v>彭召兵</v>
      </c>
      <c r="F22" s="5" t="str">
        <f>"男"</f>
        <v>男</v>
      </c>
      <c r="G22" s="5" t="str">
        <f>"土家族"</f>
        <v>土家族</v>
      </c>
      <c r="H22" s="5" t="str">
        <f>"2002-08-16"</f>
        <v>2002-08-16</v>
      </c>
      <c r="I22" s="5" t="str">
        <f>"共青团员"</f>
        <v>共青团员</v>
      </c>
      <c r="J22" s="5" t="str">
        <f>"浙江大学"</f>
        <v>浙江大学</v>
      </c>
      <c r="K22" s="5" t="str">
        <f t="shared" si="7"/>
        <v>数学与应用数学</v>
      </c>
      <c r="L22" s="5" t="str">
        <f t="shared" si="8"/>
        <v>本科</v>
      </c>
      <c r="M22" s="5" t="str">
        <f t="shared" si="9"/>
        <v>学士</v>
      </c>
    </row>
    <row r="23" spans="1:13" s="1" customFormat="1" ht="36" customHeight="1">
      <c r="A23" s="5" t="s">
        <v>13</v>
      </c>
      <c r="B23" s="5" t="str">
        <f t="shared" si="6"/>
        <v>YZ2024002</v>
      </c>
      <c r="C23" s="6" t="s">
        <v>16</v>
      </c>
      <c r="D23" s="5" t="s">
        <v>15</v>
      </c>
      <c r="E23" s="5" t="str">
        <f>"曾磊"</f>
        <v>曾磊</v>
      </c>
      <c r="F23" s="5" t="str">
        <f>"男"</f>
        <v>男</v>
      </c>
      <c r="G23" s="5" t="str">
        <f>"土家族"</f>
        <v>土家族</v>
      </c>
      <c r="H23" s="5" t="str">
        <f>"1995-05-11"</f>
        <v>1995-05-11</v>
      </c>
      <c r="I23" s="5" t="str">
        <f>"群众"</f>
        <v>群众</v>
      </c>
      <c r="J23" s="5" t="str">
        <f>"江汉大学"</f>
        <v>江汉大学</v>
      </c>
      <c r="K23" s="5" t="str">
        <f t="shared" si="7"/>
        <v>数学与应用数学</v>
      </c>
      <c r="L23" s="5" t="str">
        <f t="shared" si="8"/>
        <v>本科</v>
      </c>
      <c r="M23" s="5" t="str">
        <f t="shared" si="9"/>
        <v>学士</v>
      </c>
    </row>
    <row r="24" spans="1:13" s="1" customFormat="1" ht="36" customHeight="1">
      <c r="A24" s="5" t="s">
        <v>13</v>
      </c>
      <c r="B24" s="5" t="str">
        <f t="shared" si="6"/>
        <v>YZ2024002</v>
      </c>
      <c r="C24" s="6" t="s">
        <v>16</v>
      </c>
      <c r="D24" s="5" t="s">
        <v>15</v>
      </c>
      <c r="E24" s="5" t="str">
        <f>"张金攀"</f>
        <v>张金攀</v>
      </c>
      <c r="F24" s="5" t="str">
        <f>"男"</f>
        <v>男</v>
      </c>
      <c r="G24" s="5" t="str">
        <f>"土家族"</f>
        <v>土家族</v>
      </c>
      <c r="H24" s="5" t="str">
        <f>"2000-10-30"</f>
        <v>2000-10-30</v>
      </c>
      <c r="I24" s="5" t="str">
        <f>"共青团员"</f>
        <v>共青团员</v>
      </c>
      <c r="J24" s="5" t="str">
        <f>"伊犁师范大学"</f>
        <v>伊犁师范大学</v>
      </c>
      <c r="K24" s="5" t="str">
        <f t="shared" si="7"/>
        <v>数学与应用数学</v>
      </c>
      <c r="L24" s="5" t="str">
        <f t="shared" si="8"/>
        <v>本科</v>
      </c>
      <c r="M24" s="5" t="str">
        <f t="shared" si="9"/>
        <v>学士</v>
      </c>
    </row>
    <row r="25" spans="1:13" s="1" customFormat="1" ht="36" customHeight="1">
      <c r="A25" s="5" t="s">
        <v>13</v>
      </c>
      <c r="B25" s="5" t="str">
        <f t="shared" si="6"/>
        <v>YZ2024002</v>
      </c>
      <c r="C25" s="6" t="s">
        <v>16</v>
      </c>
      <c r="D25" s="5" t="s">
        <v>15</v>
      </c>
      <c r="E25" s="5" t="str">
        <f>"鄢妮"</f>
        <v>鄢妮</v>
      </c>
      <c r="F25" s="5" t="str">
        <f>"女"</f>
        <v>女</v>
      </c>
      <c r="G25" s="5" t="str">
        <f>"土家族"</f>
        <v>土家族</v>
      </c>
      <c r="H25" s="5" t="str">
        <f>"2001-05-29"</f>
        <v>2001-05-29</v>
      </c>
      <c r="I25" s="5" t="str">
        <f>"共青团员"</f>
        <v>共青团员</v>
      </c>
      <c r="J25" s="5" t="str">
        <f>"湖北民族大学"</f>
        <v>湖北民族大学</v>
      </c>
      <c r="K25" s="5" t="str">
        <f t="shared" si="7"/>
        <v>数学与应用数学</v>
      </c>
      <c r="L25" s="5" t="str">
        <f t="shared" si="8"/>
        <v>本科</v>
      </c>
      <c r="M25" s="5" t="str">
        <f t="shared" si="9"/>
        <v>学士</v>
      </c>
    </row>
    <row r="26" spans="1:13" s="1" customFormat="1" ht="36" customHeight="1">
      <c r="A26" s="5" t="s">
        <v>13</v>
      </c>
      <c r="B26" s="5" t="str">
        <f t="shared" si="6"/>
        <v>YZ2024002</v>
      </c>
      <c r="C26" s="6" t="s">
        <v>16</v>
      </c>
      <c r="D26" s="5" t="s">
        <v>15</v>
      </c>
      <c r="E26" s="5" t="str">
        <f>"李俊"</f>
        <v>李俊</v>
      </c>
      <c r="F26" s="5" t="str">
        <f>"男"</f>
        <v>男</v>
      </c>
      <c r="G26" s="5" t="str">
        <f>"汉族"</f>
        <v>汉族</v>
      </c>
      <c r="H26" s="5" t="str">
        <f>"2002-10-01"</f>
        <v>2002-10-01</v>
      </c>
      <c r="I26" s="5" t="str">
        <f>"共青团员"</f>
        <v>共青团员</v>
      </c>
      <c r="J26" s="5" t="str">
        <f>"长江师范学院"</f>
        <v>长江师范学院</v>
      </c>
      <c r="K26" s="5" t="str">
        <f t="shared" si="7"/>
        <v>数学与应用数学</v>
      </c>
      <c r="L26" s="5" t="str">
        <f t="shared" si="8"/>
        <v>本科</v>
      </c>
      <c r="M26" s="5" t="str">
        <f t="shared" si="9"/>
        <v>学士</v>
      </c>
    </row>
    <row r="27" spans="1:13" s="1" customFormat="1" ht="36" customHeight="1">
      <c r="A27" s="5" t="s">
        <v>13</v>
      </c>
      <c r="B27" s="5" t="str">
        <f t="shared" si="6"/>
        <v>YZ2024002</v>
      </c>
      <c r="C27" s="6" t="s">
        <v>16</v>
      </c>
      <c r="D27" s="5" t="s">
        <v>15</v>
      </c>
      <c r="E27" s="5" t="str">
        <f>"谭桂蓉"</f>
        <v>谭桂蓉</v>
      </c>
      <c r="F27" s="5" t="str">
        <f>"女"</f>
        <v>女</v>
      </c>
      <c r="G27" s="5" t="str">
        <f>"土家族"</f>
        <v>土家族</v>
      </c>
      <c r="H27" s="5" t="str">
        <f>"1994-09-23"</f>
        <v>1994-09-23</v>
      </c>
      <c r="I27" s="5" t="str">
        <f>"群众"</f>
        <v>群众</v>
      </c>
      <c r="J27" s="5" t="str">
        <f>"湖北民族学院"</f>
        <v>湖北民族学院</v>
      </c>
      <c r="K27" s="5" t="str">
        <f t="shared" si="7"/>
        <v>数学与应用数学</v>
      </c>
      <c r="L27" s="5" t="str">
        <f t="shared" si="8"/>
        <v>本科</v>
      </c>
      <c r="M27" s="5" t="str">
        <f t="shared" si="9"/>
        <v>学士</v>
      </c>
    </row>
    <row r="28" spans="1:13" s="1" customFormat="1" ht="36" customHeight="1">
      <c r="A28" s="5" t="s">
        <v>13</v>
      </c>
      <c r="B28" s="5" t="str">
        <f t="shared" si="6"/>
        <v>YZ2024002</v>
      </c>
      <c r="C28" s="6" t="s">
        <v>16</v>
      </c>
      <c r="D28" s="5" t="s">
        <v>15</v>
      </c>
      <c r="E28" s="5" t="str">
        <f>"牟潇"</f>
        <v>牟潇</v>
      </c>
      <c r="F28" s="5" t="str">
        <f>"男"</f>
        <v>男</v>
      </c>
      <c r="G28" s="5" t="str">
        <f>"汉族"</f>
        <v>汉族</v>
      </c>
      <c r="H28" s="5" t="str">
        <f>"2001-08-08"</f>
        <v>2001-08-08</v>
      </c>
      <c r="I28" s="5" t="str">
        <f>"共青团员"</f>
        <v>共青团员</v>
      </c>
      <c r="J28" s="5" t="str">
        <f>"内蒙古民族大学"</f>
        <v>内蒙古民族大学</v>
      </c>
      <c r="K28" s="5" t="str">
        <f t="shared" si="7"/>
        <v>数学与应用数学</v>
      </c>
      <c r="L28" s="5" t="str">
        <f t="shared" si="8"/>
        <v>本科</v>
      </c>
      <c r="M28" s="5" t="str">
        <f t="shared" si="9"/>
        <v>学士</v>
      </c>
    </row>
    <row r="29" spans="1:13" s="1" customFormat="1" ht="36" customHeight="1">
      <c r="A29" s="5" t="s">
        <v>13</v>
      </c>
      <c r="B29" s="5" t="str">
        <f t="shared" si="6"/>
        <v>YZ2024002</v>
      </c>
      <c r="C29" s="6" t="s">
        <v>16</v>
      </c>
      <c r="D29" s="5" t="s">
        <v>15</v>
      </c>
      <c r="E29" s="5" t="str">
        <f>"舒跃"</f>
        <v>舒跃</v>
      </c>
      <c r="F29" s="5" t="str">
        <f>"男"</f>
        <v>男</v>
      </c>
      <c r="G29" s="5" t="str">
        <f>"侗族"</f>
        <v>侗族</v>
      </c>
      <c r="H29" s="5" t="str">
        <f>"1998-01-02"</f>
        <v>1998-01-02</v>
      </c>
      <c r="I29" s="5" t="str">
        <f>"中共党员"</f>
        <v>中共党员</v>
      </c>
      <c r="J29" s="5" t="str">
        <f>"六盘水师范学院"</f>
        <v>六盘水师范学院</v>
      </c>
      <c r="K29" s="5" t="str">
        <f t="shared" si="7"/>
        <v>数学与应用数学</v>
      </c>
      <c r="L29" s="5" t="str">
        <f t="shared" si="8"/>
        <v>本科</v>
      </c>
      <c r="M29" s="5" t="str">
        <f t="shared" si="9"/>
        <v>学士</v>
      </c>
    </row>
    <row r="30" spans="1:13" s="1" customFormat="1" ht="36" customHeight="1">
      <c r="A30" s="5" t="s">
        <v>13</v>
      </c>
      <c r="B30" s="5" t="str">
        <f t="shared" si="6"/>
        <v>YZ2024002</v>
      </c>
      <c r="C30" s="6" t="s">
        <v>16</v>
      </c>
      <c r="D30" s="5" t="s">
        <v>15</v>
      </c>
      <c r="E30" s="5" t="str">
        <f>"方峰"</f>
        <v>方峰</v>
      </c>
      <c r="F30" s="5" t="str">
        <f>"男"</f>
        <v>男</v>
      </c>
      <c r="G30" s="5" t="str">
        <f>"汉族"</f>
        <v>汉族</v>
      </c>
      <c r="H30" s="5" t="str">
        <f>"1995-01-22"</f>
        <v>1995-01-22</v>
      </c>
      <c r="I30" s="5" t="str">
        <f>"群众"</f>
        <v>群众</v>
      </c>
      <c r="J30" s="5" t="str">
        <f>"湖北民族大学"</f>
        <v>湖北民族大学</v>
      </c>
      <c r="K30" s="5" t="str">
        <f>"信息与计算科学"</f>
        <v>信息与计算科学</v>
      </c>
      <c r="L30" s="5" t="str">
        <f t="shared" si="8"/>
        <v>本科</v>
      </c>
      <c r="M30" s="5" t="str">
        <f t="shared" si="9"/>
        <v>学士</v>
      </c>
    </row>
    <row r="31" spans="1:13" s="1" customFormat="1" ht="36" customHeight="1">
      <c r="A31" s="5" t="s">
        <v>13</v>
      </c>
      <c r="B31" s="5" t="str">
        <f t="shared" si="6"/>
        <v>YZ2024002</v>
      </c>
      <c r="C31" s="6" t="s">
        <v>16</v>
      </c>
      <c r="D31" s="5" t="s">
        <v>15</v>
      </c>
      <c r="E31" s="5" t="str">
        <f>"罗全宝"</f>
        <v>罗全宝</v>
      </c>
      <c r="F31" s="5" t="str">
        <f>"男"</f>
        <v>男</v>
      </c>
      <c r="G31" s="5" t="str">
        <f>"苗族"</f>
        <v>苗族</v>
      </c>
      <c r="H31" s="5" t="str">
        <f>"2001-06-02"</f>
        <v>2001-06-02</v>
      </c>
      <c r="I31" s="5" t="str">
        <f>"共青团员"</f>
        <v>共青团员</v>
      </c>
      <c r="J31" s="5" t="str">
        <f>"长江大学"</f>
        <v>长江大学</v>
      </c>
      <c r="K31" s="5" t="str">
        <f>"数学与应用数学"</f>
        <v>数学与应用数学</v>
      </c>
      <c r="L31" s="5" t="str">
        <f t="shared" si="8"/>
        <v>本科</v>
      </c>
      <c r="M31" s="5" t="str">
        <f t="shared" si="9"/>
        <v>学士</v>
      </c>
    </row>
    <row r="32" spans="1:13" s="1" customFormat="1" ht="36" customHeight="1">
      <c r="A32" s="5" t="s">
        <v>13</v>
      </c>
      <c r="B32" s="5" t="str">
        <f t="shared" si="6"/>
        <v>YZ2024002</v>
      </c>
      <c r="C32" s="6" t="s">
        <v>16</v>
      </c>
      <c r="D32" s="5" t="s">
        <v>15</v>
      </c>
      <c r="E32" s="5" t="str">
        <f>"赵文嘉"</f>
        <v>赵文嘉</v>
      </c>
      <c r="F32" s="5" t="str">
        <f>"女"</f>
        <v>女</v>
      </c>
      <c r="G32" s="5" t="str">
        <f>"土家族"</f>
        <v>土家族</v>
      </c>
      <c r="H32" s="5" t="str">
        <f>"1999-08-25"</f>
        <v>1999-08-25</v>
      </c>
      <c r="I32" s="5" t="str">
        <f>"共青团员"</f>
        <v>共青团员</v>
      </c>
      <c r="J32" s="5" t="str">
        <f>"黄冈师范学院"</f>
        <v>黄冈师范学院</v>
      </c>
      <c r="K32" s="5" t="str">
        <f>"数学与应用数学"</f>
        <v>数学与应用数学</v>
      </c>
      <c r="L32" s="5" t="str">
        <f t="shared" si="8"/>
        <v>本科</v>
      </c>
      <c r="M32" s="5" t="str">
        <f t="shared" si="9"/>
        <v>学士</v>
      </c>
    </row>
    <row r="33" spans="1:13" s="1" customFormat="1" ht="36" customHeight="1">
      <c r="A33" s="5" t="s">
        <v>13</v>
      </c>
      <c r="B33" s="5" t="str">
        <f t="shared" si="6"/>
        <v>YZ2024002</v>
      </c>
      <c r="C33" s="6" t="s">
        <v>16</v>
      </c>
      <c r="D33" s="5" t="s">
        <v>15</v>
      </c>
      <c r="E33" s="5" t="str">
        <f>"郑成苗"</f>
        <v>郑成苗</v>
      </c>
      <c r="F33" s="5" t="str">
        <f>"女"</f>
        <v>女</v>
      </c>
      <c r="G33" s="5" t="str">
        <f>"汉族"</f>
        <v>汉族</v>
      </c>
      <c r="H33" s="5" t="str">
        <f>"1998-07-06"</f>
        <v>1998-07-06</v>
      </c>
      <c r="I33" s="5" t="str">
        <f>"中共党员"</f>
        <v>中共党员</v>
      </c>
      <c r="J33" s="5" t="str">
        <f>"汉江师范学院"</f>
        <v>汉江师范学院</v>
      </c>
      <c r="K33" s="5" t="str">
        <f>"数学与应用数学"</f>
        <v>数学与应用数学</v>
      </c>
      <c r="L33" s="5" t="str">
        <f t="shared" si="8"/>
        <v>本科</v>
      </c>
      <c r="M33" s="5" t="str">
        <f t="shared" si="9"/>
        <v>学士</v>
      </c>
    </row>
    <row r="34" spans="1:13" s="1" customFormat="1" ht="36" customHeight="1">
      <c r="A34" s="5" t="s">
        <v>13</v>
      </c>
      <c r="B34" s="5" t="str">
        <f t="shared" si="6"/>
        <v>YZ2024002</v>
      </c>
      <c r="C34" s="6" t="s">
        <v>16</v>
      </c>
      <c r="D34" s="5" t="s">
        <v>15</v>
      </c>
      <c r="E34" s="5" t="str">
        <f>"冉艳林"</f>
        <v>冉艳林</v>
      </c>
      <c r="F34" s="5" t="str">
        <f>"女"</f>
        <v>女</v>
      </c>
      <c r="G34" s="5" t="str">
        <f>"土家族"</f>
        <v>土家族</v>
      </c>
      <c r="H34" s="5" t="str">
        <f>"1996-04-18"</f>
        <v>1996-04-18</v>
      </c>
      <c r="I34" s="5" t="str">
        <f>"中共党员"</f>
        <v>中共党员</v>
      </c>
      <c r="J34" s="5" t="str">
        <f>"长江师范学院"</f>
        <v>长江师范学院</v>
      </c>
      <c r="K34" s="5" t="str">
        <f>"数学与应用数学"</f>
        <v>数学与应用数学</v>
      </c>
      <c r="L34" s="5" t="str">
        <f>"本科"</f>
        <v>本科</v>
      </c>
      <c r="M34" s="5" t="str">
        <f>"学士"</f>
        <v>学士</v>
      </c>
    </row>
    <row r="35" spans="1:13" s="1" customFormat="1" ht="36" customHeight="1">
      <c r="A35" s="5" t="s">
        <v>13</v>
      </c>
      <c r="B35" s="5" t="str">
        <f t="shared" si="6"/>
        <v>YZ2024002</v>
      </c>
      <c r="C35" s="6" t="s">
        <v>16</v>
      </c>
      <c r="D35" s="5" t="s">
        <v>15</v>
      </c>
      <c r="E35" s="5" t="str">
        <f>"邓莲元"</f>
        <v>邓莲元</v>
      </c>
      <c r="F35" s="5" t="str">
        <f>"女"</f>
        <v>女</v>
      </c>
      <c r="G35" s="5" t="str">
        <f>"汉族"</f>
        <v>汉族</v>
      </c>
      <c r="H35" s="5" t="str">
        <f>"2001-04-28"</f>
        <v>2001-04-28</v>
      </c>
      <c r="I35" s="5" t="str">
        <f>"共青团员"</f>
        <v>共青团员</v>
      </c>
      <c r="J35" s="5" t="str">
        <f>"中南民族大学"</f>
        <v>中南民族大学</v>
      </c>
      <c r="K35" s="5" t="str">
        <f>"数学与应用数学"</f>
        <v>数学与应用数学</v>
      </c>
      <c r="L35" s="5" t="str">
        <f>"本科"</f>
        <v>本科</v>
      </c>
      <c r="M35" s="5" t="str">
        <f>"学士"</f>
        <v>学士</v>
      </c>
    </row>
    <row r="36" spans="1:13" s="1" customFormat="1" ht="36" customHeight="1">
      <c r="A36" s="5" t="s">
        <v>13</v>
      </c>
      <c r="B36" s="5" t="str">
        <f t="shared" si="6"/>
        <v>YZ2024002</v>
      </c>
      <c r="C36" s="6" t="s">
        <v>16</v>
      </c>
      <c r="D36" s="5" t="s">
        <v>15</v>
      </c>
      <c r="E36" s="5" t="str">
        <f>"邹进"</f>
        <v>邹进</v>
      </c>
      <c r="F36" s="5" t="str">
        <f>"男"</f>
        <v>男</v>
      </c>
      <c r="G36" s="5" t="str">
        <f>"土家族"</f>
        <v>土家族</v>
      </c>
      <c r="H36" s="5" t="str">
        <f>"2001-11-16"</f>
        <v>2001-11-16</v>
      </c>
      <c r="I36" s="5" t="str">
        <f>"共青团员"</f>
        <v>共青团员</v>
      </c>
      <c r="J36" s="5" t="str">
        <f>"华中农业大学"</f>
        <v>华中农业大学</v>
      </c>
      <c r="K36" s="5" t="str">
        <f>"信息与计算科学"</f>
        <v>信息与计算科学</v>
      </c>
      <c r="L36" s="5" t="str">
        <f>"本科"</f>
        <v>本科</v>
      </c>
      <c r="M36" s="5" t="str">
        <f>"学士"</f>
        <v>学士</v>
      </c>
    </row>
    <row r="37" spans="1:13" s="1" customFormat="1" ht="36" customHeight="1">
      <c r="A37" s="5" t="s">
        <v>13</v>
      </c>
      <c r="B37" s="5" t="str">
        <f t="shared" si="6"/>
        <v>YZ2024002</v>
      </c>
      <c r="C37" s="6" t="s">
        <v>16</v>
      </c>
      <c r="D37" s="5" t="s">
        <v>15</v>
      </c>
      <c r="E37" s="5" t="str">
        <f>"张媛"</f>
        <v>张媛</v>
      </c>
      <c r="F37" s="5" t="str">
        <f>"女"</f>
        <v>女</v>
      </c>
      <c r="G37" s="5" t="str">
        <f>"土家族"</f>
        <v>土家族</v>
      </c>
      <c r="H37" s="5" t="str">
        <f>"1999-01-16"</f>
        <v>1999-01-16</v>
      </c>
      <c r="I37" s="5" t="str">
        <f>"共青团员"</f>
        <v>共青团员</v>
      </c>
      <c r="J37" s="5" t="str">
        <f>"长江师范学院"</f>
        <v>长江师范学院</v>
      </c>
      <c r="K37" s="5" t="str">
        <f>"数学与应用数学"</f>
        <v>数学与应用数学</v>
      </c>
      <c r="L37" s="5" t="str">
        <f>"本科"</f>
        <v>本科</v>
      </c>
      <c r="M37" s="5" t="str">
        <f>"学士"</f>
        <v>学士</v>
      </c>
    </row>
    <row r="38" spans="1:13" s="1" customFormat="1" ht="36" customHeight="1">
      <c r="A38" s="5" t="s">
        <v>13</v>
      </c>
      <c r="B38" s="5" t="str">
        <f t="shared" si="6"/>
        <v>YZ2024002</v>
      </c>
      <c r="C38" s="6" t="s">
        <v>16</v>
      </c>
      <c r="D38" s="5" t="s">
        <v>15</v>
      </c>
      <c r="E38" s="5" t="str">
        <f>"张维"</f>
        <v>张维</v>
      </c>
      <c r="F38" s="5" t="str">
        <f>"男"</f>
        <v>男</v>
      </c>
      <c r="G38" s="5" t="str">
        <f>"土家族"</f>
        <v>土家族</v>
      </c>
      <c r="H38" s="5" t="str">
        <f>"1998-06-02"</f>
        <v>1998-06-02</v>
      </c>
      <c r="I38" s="5" t="str">
        <f>"中共党员"</f>
        <v>中共党员</v>
      </c>
      <c r="J38" s="5" t="str">
        <f>"湖北文理学院"</f>
        <v>湖北文理学院</v>
      </c>
      <c r="K38" s="5" t="str">
        <f>"数学与应用数学"</f>
        <v>数学与应用数学</v>
      </c>
      <c r="L38" s="5" t="str">
        <f>"本科"</f>
        <v>本科</v>
      </c>
      <c r="M38" s="5" t="str">
        <f>"学士"</f>
        <v>学士</v>
      </c>
    </row>
    <row r="39" spans="1:13" s="1" customFormat="1" ht="36" customHeight="1">
      <c r="A39" s="5" t="s">
        <v>13</v>
      </c>
      <c r="B39" s="5" t="str">
        <f t="shared" ref="B39:B53" si="10">"YZ2024003"</f>
        <v>YZ2024003</v>
      </c>
      <c r="C39" s="6" t="s">
        <v>17</v>
      </c>
      <c r="D39" s="5" t="s">
        <v>15</v>
      </c>
      <c r="E39" s="5" t="str">
        <f>"李昀倩"</f>
        <v>李昀倩</v>
      </c>
      <c r="F39" s="5" t="str">
        <f>"女"</f>
        <v>女</v>
      </c>
      <c r="G39" s="5" t="str">
        <f>"土家族"</f>
        <v>土家族</v>
      </c>
      <c r="H39" s="5" t="str">
        <f>"1992-12-08"</f>
        <v>1992-12-08</v>
      </c>
      <c r="I39" s="5" t="str">
        <f>"群众"</f>
        <v>群众</v>
      </c>
      <c r="J39" s="5" t="str">
        <f>"江西农业大学"</f>
        <v>江西农业大学</v>
      </c>
      <c r="K39" s="5" t="str">
        <f>"学科教学（英语）"</f>
        <v>学科教学（英语）</v>
      </c>
      <c r="L39" s="5" t="str">
        <f t="shared" ref="L39:L53" si="11">"硕士研究生"</f>
        <v>硕士研究生</v>
      </c>
      <c r="M39" s="5" t="str">
        <f t="shared" ref="M39:M53" si="12">"硕士"</f>
        <v>硕士</v>
      </c>
    </row>
    <row r="40" spans="1:13" s="1" customFormat="1" ht="36" customHeight="1">
      <c r="A40" s="5" t="s">
        <v>13</v>
      </c>
      <c r="B40" s="5" t="str">
        <f t="shared" si="10"/>
        <v>YZ2024003</v>
      </c>
      <c r="C40" s="6" t="s">
        <v>17</v>
      </c>
      <c r="D40" s="5" t="s">
        <v>15</v>
      </c>
      <c r="E40" s="5" t="str">
        <f>"吴金悦"</f>
        <v>吴金悦</v>
      </c>
      <c r="F40" s="5" t="str">
        <f>"女"</f>
        <v>女</v>
      </c>
      <c r="G40" s="5" t="str">
        <f>"土家族"</f>
        <v>土家族</v>
      </c>
      <c r="H40" s="5" t="str">
        <f>"1999-05-08"</f>
        <v>1999-05-08</v>
      </c>
      <c r="I40" s="5" t="str">
        <f>"共青团员"</f>
        <v>共青团员</v>
      </c>
      <c r="J40" s="5" t="str">
        <f>"西南政法大学"</f>
        <v>西南政法大学</v>
      </c>
      <c r="K40" s="5" t="str">
        <f>"英语笔译"</f>
        <v>英语笔译</v>
      </c>
      <c r="L40" s="5" t="str">
        <f t="shared" si="11"/>
        <v>硕士研究生</v>
      </c>
      <c r="M40" s="5" t="str">
        <f t="shared" si="12"/>
        <v>硕士</v>
      </c>
    </row>
    <row r="41" spans="1:13" s="1" customFormat="1" ht="36" customHeight="1">
      <c r="A41" s="5" t="s">
        <v>13</v>
      </c>
      <c r="B41" s="5" t="str">
        <f t="shared" si="10"/>
        <v>YZ2024003</v>
      </c>
      <c r="C41" s="6" t="s">
        <v>17</v>
      </c>
      <c r="D41" s="5" t="s">
        <v>15</v>
      </c>
      <c r="E41" s="5" t="str">
        <f>"谈荣庆"</f>
        <v>谈荣庆</v>
      </c>
      <c r="F41" s="5" t="str">
        <f>"男"</f>
        <v>男</v>
      </c>
      <c r="G41" s="5" t="str">
        <f>"汉族"</f>
        <v>汉族</v>
      </c>
      <c r="H41" s="5" t="str">
        <f>"1998-04-16"</f>
        <v>1998-04-16</v>
      </c>
      <c r="I41" s="5" t="str">
        <f>"共青团员"</f>
        <v>共青团员</v>
      </c>
      <c r="J41" s="5" t="str">
        <f>"武汉轻工大学"</f>
        <v>武汉轻工大学</v>
      </c>
      <c r="K41" s="5" t="str">
        <f>"英语笔译"</f>
        <v>英语笔译</v>
      </c>
      <c r="L41" s="5" t="str">
        <f t="shared" si="11"/>
        <v>硕士研究生</v>
      </c>
      <c r="M41" s="5" t="str">
        <f t="shared" si="12"/>
        <v>硕士</v>
      </c>
    </row>
    <row r="42" spans="1:13" s="1" customFormat="1" ht="36" customHeight="1">
      <c r="A42" s="5" t="s">
        <v>13</v>
      </c>
      <c r="B42" s="5" t="str">
        <f t="shared" si="10"/>
        <v>YZ2024003</v>
      </c>
      <c r="C42" s="6" t="s">
        <v>17</v>
      </c>
      <c r="D42" s="5" t="s">
        <v>15</v>
      </c>
      <c r="E42" s="5" t="str">
        <f>"肖大军"</f>
        <v>肖大军</v>
      </c>
      <c r="F42" s="5" t="str">
        <f>"男"</f>
        <v>男</v>
      </c>
      <c r="G42" s="5" t="str">
        <f>"土家族"</f>
        <v>土家族</v>
      </c>
      <c r="H42" s="5" t="str">
        <f>"1993-11-02"</f>
        <v>1993-11-02</v>
      </c>
      <c r="I42" s="5" t="str">
        <f>"群众"</f>
        <v>群众</v>
      </c>
      <c r="J42" s="5" t="str">
        <f>"西南财经大学"</f>
        <v>西南财经大学</v>
      </c>
      <c r="K42" s="5" t="str">
        <f>"英语笔译"</f>
        <v>英语笔译</v>
      </c>
      <c r="L42" s="5" t="str">
        <f t="shared" si="11"/>
        <v>硕士研究生</v>
      </c>
      <c r="M42" s="5" t="str">
        <f t="shared" si="12"/>
        <v>硕士</v>
      </c>
    </row>
    <row r="43" spans="1:13" s="1" customFormat="1" ht="36" customHeight="1">
      <c r="A43" s="5" t="s">
        <v>13</v>
      </c>
      <c r="B43" s="5" t="str">
        <f t="shared" si="10"/>
        <v>YZ2024003</v>
      </c>
      <c r="C43" s="6" t="s">
        <v>17</v>
      </c>
      <c r="D43" s="5" t="s">
        <v>15</v>
      </c>
      <c r="E43" s="5" t="str">
        <f>"黄娅婷"</f>
        <v>黄娅婷</v>
      </c>
      <c r="F43" s="5" t="str">
        <f t="shared" ref="F43:F48" si="13">"女"</f>
        <v>女</v>
      </c>
      <c r="G43" s="5" t="str">
        <f>"苗族"</f>
        <v>苗族</v>
      </c>
      <c r="H43" s="5" t="str">
        <f>"1993-03-21"</f>
        <v>1993-03-21</v>
      </c>
      <c r="I43" s="5" t="str">
        <f>"群众"</f>
        <v>群众</v>
      </c>
      <c r="J43" s="5" t="str">
        <f>"厦门大学"</f>
        <v>厦门大学</v>
      </c>
      <c r="K43" s="5" t="str">
        <f>"英语口译"</f>
        <v>英语口译</v>
      </c>
      <c r="L43" s="5" t="str">
        <f t="shared" si="11"/>
        <v>硕士研究生</v>
      </c>
      <c r="M43" s="5" t="str">
        <f t="shared" si="12"/>
        <v>硕士</v>
      </c>
    </row>
    <row r="44" spans="1:13" s="1" customFormat="1" ht="36" customHeight="1">
      <c r="A44" s="5" t="s">
        <v>13</v>
      </c>
      <c r="B44" s="5" t="str">
        <f t="shared" si="10"/>
        <v>YZ2024003</v>
      </c>
      <c r="C44" s="6" t="s">
        <v>17</v>
      </c>
      <c r="D44" s="5" t="s">
        <v>15</v>
      </c>
      <c r="E44" s="5" t="str">
        <f>"谭宇涵"</f>
        <v>谭宇涵</v>
      </c>
      <c r="F44" s="5" t="str">
        <f t="shared" si="13"/>
        <v>女</v>
      </c>
      <c r="G44" s="5" t="str">
        <f>"土家族"</f>
        <v>土家族</v>
      </c>
      <c r="H44" s="5" t="str">
        <f>"2000-09-21"</f>
        <v>2000-09-21</v>
      </c>
      <c r="I44" s="5" t="str">
        <f>"共青团员"</f>
        <v>共青团员</v>
      </c>
      <c r="J44" s="5" t="str">
        <f>"武汉轻工大学"</f>
        <v>武汉轻工大学</v>
      </c>
      <c r="K44" s="5" t="str">
        <f>"英语笔译"</f>
        <v>英语笔译</v>
      </c>
      <c r="L44" s="5" t="str">
        <f t="shared" si="11"/>
        <v>硕士研究生</v>
      </c>
      <c r="M44" s="5" t="str">
        <f t="shared" si="12"/>
        <v>硕士</v>
      </c>
    </row>
    <row r="45" spans="1:13" s="1" customFormat="1" ht="36" customHeight="1">
      <c r="A45" s="5" t="s">
        <v>13</v>
      </c>
      <c r="B45" s="5" t="str">
        <f t="shared" si="10"/>
        <v>YZ2024003</v>
      </c>
      <c r="C45" s="6" t="s">
        <v>17</v>
      </c>
      <c r="D45" s="5" t="s">
        <v>15</v>
      </c>
      <c r="E45" s="5" t="str">
        <f>"林航"</f>
        <v>林航</v>
      </c>
      <c r="F45" s="5" t="str">
        <f t="shared" si="13"/>
        <v>女</v>
      </c>
      <c r="G45" s="5" t="str">
        <f>"侗族"</f>
        <v>侗族</v>
      </c>
      <c r="H45" s="5" t="str">
        <f>"1996-12-20"</f>
        <v>1996-12-20</v>
      </c>
      <c r="I45" s="5" t="str">
        <f>"共青团员"</f>
        <v>共青团员</v>
      </c>
      <c r="J45" s="5" t="str">
        <f>"中南民族大学"</f>
        <v>中南民族大学</v>
      </c>
      <c r="K45" s="5" t="str">
        <f>"英语笔译"</f>
        <v>英语笔译</v>
      </c>
      <c r="L45" s="5" t="str">
        <f t="shared" si="11"/>
        <v>硕士研究生</v>
      </c>
      <c r="M45" s="5" t="str">
        <f t="shared" si="12"/>
        <v>硕士</v>
      </c>
    </row>
    <row r="46" spans="1:13" s="1" customFormat="1" ht="36" customHeight="1">
      <c r="A46" s="5" t="s">
        <v>13</v>
      </c>
      <c r="B46" s="5" t="str">
        <f t="shared" si="10"/>
        <v>YZ2024003</v>
      </c>
      <c r="C46" s="6" t="s">
        <v>17</v>
      </c>
      <c r="D46" s="5" t="s">
        <v>15</v>
      </c>
      <c r="E46" s="5" t="str">
        <f>"彭璐"</f>
        <v>彭璐</v>
      </c>
      <c r="F46" s="5" t="str">
        <f t="shared" si="13"/>
        <v>女</v>
      </c>
      <c r="G46" s="5" t="str">
        <f>"土家族"</f>
        <v>土家族</v>
      </c>
      <c r="H46" s="5" t="str">
        <f>"1997-11-24"</f>
        <v>1997-11-24</v>
      </c>
      <c r="I46" s="5" t="str">
        <f>"共青团员"</f>
        <v>共青团员</v>
      </c>
      <c r="J46" s="5" t="str">
        <f>"广西科技大学"</f>
        <v>广西科技大学</v>
      </c>
      <c r="K46" s="5" t="str">
        <f>"英语笔译"</f>
        <v>英语笔译</v>
      </c>
      <c r="L46" s="5" t="str">
        <f t="shared" si="11"/>
        <v>硕士研究生</v>
      </c>
      <c r="M46" s="5" t="str">
        <f t="shared" si="12"/>
        <v>硕士</v>
      </c>
    </row>
    <row r="47" spans="1:13" s="1" customFormat="1" ht="36" customHeight="1">
      <c r="A47" s="5" t="s">
        <v>13</v>
      </c>
      <c r="B47" s="5" t="str">
        <f t="shared" si="10"/>
        <v>YZ2024003</v>
      </c>
      <c r="C47" s="6" t="s">
        <v>17</v>
      </c>
      <c r="D47" s="5" t="s">
        <v>15</v>
      </c>
      <c r="E47" s="5" t="str">
        <f>"雷霏"</f>
        <v>雷霏</v>
      </c>
      <c r="F47" s="5" t="str">
        <f t="shared" si="13"/>
        <v>女</v>
      </c>
      <c r="G47" s="5" t="str">
        <f>"汉族"</f>
        <v>汉族</v>
      </c>
      <c r="H47" s="5" t="str">
        <f>"1998-08-10"</f>
        <v>1998-08-10</v>
      </c>
      <c r="I47" s="5" t="str">
        <f>"共青团员"</f>
        <v>共青团员</v>
      </c>
      <c r="J47" s="5" t="str">
        <f>"湖北大学"</f>
        <v>湖北大学</v>
      </c>
      <c r="K47" s="5" t="str">
        <f>"学科教学（英语）"</f>
        <v>学科教学（英语）</v>
      </c>
      <c r="L47" s="5" t="str">
        <f t="shared" si="11"/>
        <v>硕士研究生</v>
      </c>
      <c r="M47" s="5" t="str">
        <f t="shared" si="12"/>
        <v>硕士</v>
      </c>
    </row>
    <row r="48" spans="1:13" s="1" customFormat="1" ht="36" customHeight="1">
      <c r="A48" s="5" t="s">
        <v>13</v>
      </c>
      <c r="B48" s="5" t="str">
        <f t="shared" si="10"/>
        <v>YZ2024003</v>
      </c>
      <c r="C48" s="6" t="s">
        <v>17</v>
      </c>
      <c r="D48" s="5" t="s">
        <v>15</v>
      </c>
      <c r="E48" s="5" t="str">
        <f>"罗漫"</f>
        <v>罗漫</v>
      </c>
      <c r="F48" s="5" t="str">
        <f t="shared" si="13"/>
        <v>女</v>
      </c>
      <c r="G48" s="5" t="str">
        <f>"土家族"</f>
        <v>土家族</v>
      </c>
      <c r="H48" s="5" t="str">
        <f>"1995-09-29"</f>
        <v>1995-09-29</v>
      </c>
      <c r="I48" s="5" t="str">
        <f>"共青团员"</f>
        <v>共青团员</v>
      </c>
      <c r="J48" s="5" t="str">
        <f>"昆明理工大学"</f>
        <v>昆明理工大学</v>
      </c>
      <c r="K48" s="5" t="str">
        <f>"英语笔译"</f>
        <v>英语笔译</v>
      </c>
      <c r="L48" s="5" t="str">
        <f t="shared" si="11"/>
        <v>硕士研究生</v>
      </c>
      <c r="M48" s="5" t="str">
        <f t="shared" si="12"/>
        <v>硕士</v>
      </c>
    </row>
    <row r="49" spans="1:13" s="1" customFormat="1" ht="36" customHeight="1">
      <c r="A49" s="5" t="s">
        <v>13</v>
      </c>
      <c r="B49" s="5" t="str">
        <f t="shared" si="10"/>
        <v>YZ2024003</v>
      </c>
      <c r="C49" s="6" t="s">
        <v>17</v>
      </c>
      <c r="D49" s="5" t="s">
        <v>15</v>
      </c>
      <c r="E49" s="5" t="str">
        <f>"熊义杰"</f>
        <v>熊义杰</v>
      </c>
      <c r="F49" s="5" t="str">
        <f>"男"</f>
        <v>男</v>
      </c>
      <c r="G49" s="5" t="str">
        <f>"汉族"</f>
        <v>汉族</v>
      </c>
      <c r="H49" s="5" t="str">
        <f>"1999-01-20"</f>
        <v>1999-01-20</v>
      </c>
      <c r="I49" s="5" t="str">
        <f>"中共预备党员"</f>
        <v>中共预备党员</v>
      </c>
      <c r="J49" s="5" t="str">
        <f>"重庆三峡学院"</f>
        <v>重庆三峡学院</v>
      </c>
      <c r="K49" s="5" t="str">
        <f>"学科教学（英语）"</f>
        <v>学科教学（英语）</v>
      </c>
      <c r="L49" s="5" t="str">
        <f t="shared" si="11"/>
        <v>硕士研究生</v>
      </c>
      <c r="M49" s="5" t="str">
        <f t="shared" si="12"/>
        <v>硕士</v>
      </c>
    </row>
    <row r="50" spans="1:13" s="1" customFormat="1" ht="36" customHeight="1">
      <c r="A50" s="5" t="s">
        <v>13</v>
      </c>
      <c r="B50" s="5" t="str">
        <f t="shared" si="10"/>
        <v>YZ2024003</v>
      </c>
      <c r="C50" s="6" t="s">
        <v>17</v>
      </c>
      <c r="D50" s="5" t="s">
        <v>15</v>
      </c>
      <c r="E50" s="5" t="str">
        <f>"谢聪"</f>
        <v>谢聪</v>
      </c>
      <c r="F50" s="5" t="str">
        <f>"女"</f>
        <v>女</v>
      </c>
      <c r="G50" s="5" t="str">
        <f>"汉族"</f>
        <v>汉族</v>
      </c>
      <c r="H50" s="5" t="str">
        <f>"1999-09-02"</f>
        <v>1999-09-02</v>
      </c>
      <c r="I50" s="5" t="str">
        <f>"共青团员"</f>
        <v>共青团员</v>
      </c>
      <c r="J50" s="5" t="str">
        <f>"伊犁师范大学"</f>
        <v>伊犁师范大学</v>
      </c>
      <c r="K50" s="5" t="str">
        <f>"学科教学（英语）"</f>
        <v>学科教学（英语）</v>
      </c>
      <c r="L50" s="5" t="str">
        <f t="shared" si="11"/>
        <v>硕士研究生</v>
      </c>
      <c r="M50" s="5" t="str">
        <f t="shared" si="12"/>
        <v>硕士</v>
      </c>
    </row>
    <row r="51" spans="1:13" s="1" customFormat="1" ht="36" customHeight="1">
      <c r="A51" s="5" t="s">
        <v>13</v>
      </c>
      <c r="B51" s="5" t="str">
        <f t="shared" si="10"/>
        <v>YZ2024003</v>
      </c>
      <c r="C51" s="6" t="s">
        <v>17</v>
      </c>
      <c r="D51" s="5" t="s">
        <v>15</v>
      </c>
      <c r="E51" s="5" t="str">
        <f>"杨晨"</f>
        <v>杨晨</v>
      </c>
      <c r="F51" s="5" t="str">
        <f>"女"</f>
        <v>女</v>
      </c>
      <c r="G51" s="5" t="str">
        <f>"汉族"</f>
        <v>汉族</v>
      </c>
      <c r="H51" s="5" t="str">
        <f>"1997-09-09"</f>
        <v>1997-09-09</v>
      </c>
      <c r="I51" s="5" t="str">
        <f>"共青团员"</f>
        <v>共青团员</v>
      </c>
      <c r="J51" s="5" t="str">
        <f>"西北政法大学"</f>
        <v>西北政法大学</v>
      </c>
      <c r="K51" s="5" t="str">
        <f>"英语笔译"</f>
        <v>英语笔译</v>
      </c>
      <c r="L51" s="5" t="str">
        <f t="shared" si="11"/>
        <v>硕士研究生</v>
      </c>
      <c r="M51" s="5" t="str">
        <f t="shared" si="12"/>
        <v>硕士</v>
      </c>
    </row>
    <row r="52" spans="1:13" s="1" customFormat="1" ht="36" customHeight="1">
      <c r="A52" s="5" t="s">
        <v>13</v>
      </c>
      <c r="B52" s="5" t="str">
        <f t="shared" si="10"/>
        <v>YZ2024003</v>
      </c>
      <c r="C52" s="6" t="s">
        <v>17</v>
      </c>
      <c r="D52" s="5" t="s">
        <v>15</v>
      </c>
      <c r="E52" s="5" t="str">
        <f>"王胜姣"</f>
        <v>王胜姣</v>
      </c>
      <c r="F52" s="5" t="str">
        <f>"女"</f>
        <v>女</v>
      </c>
      <c r="G52" s="5" t="str">
        <f>"土家族"</f>
        <v>土家族</v>
      </c>
      <c r="H52" s="5" t="str">
        <f>"1995-09-19"</f>
        <v>1995-09-19</v>
      </c>
      <c r="I52" s="5" t="str">
        <f>"群众"</f>
        <v>群众</v>
      </c>
      <c r="J52" s="5" t="str">
        <f>"华中农业大学"</f>
        <v>华中农业大学</v>
      </c>
      <c r="K52" s="5" t="str">
        <f>"英语笔译"</f>
        <v>英语笔译</v>
      </c>
      <c r="L52" s="5" t="str">
        <f t="shared" si="11"/>
        <v>硕士研究生</v>
      </c>
      <c r="M52" s="5" t="str">
        <f t="shared" si="12"/>
        <v>硕士</v>
      </c>
    </row>
    <row r="53" spans="1:13" s="1" customFormat="1" ht="36" customHeight="1">
      <c r="A53" s="5" t="s">
        <v>13</v>
      </c>
      <c r="B53" s="5" t="str">
        <f t="shared" si="10"/>
        <v>YZ2024003</v>
      </c>
      <c r="C53" s="6" t="s">
        <v>17</v>
      </c>
      <c r="D53" s="5" t="s">
        <v>15</v>
      </c>
      <c r="E53" s="5" t="str">
        <f>"向柳"</f>
        <v>向柳</v>
      </c>
      <c r="F53" s="5" t="str">
        <f>"女"</f>
        <v>女</v>
      </c>
      <c r="G53" s="5" t="str">
        <f>"土家族"</f>
        <v>土家族</v>
      </c>
      <c r="H53" s="5" t="str">
        <f>"1999-08-30"</f>
        <v>1999-08-30</v>
      </c>
      <c r="I53" s="5" t="str">
        <f>"共青团员"</f>
        <v>共青团员</v>
      </c>
      <c r="J53" s="5" t="str">
        <f>"西南大学"</f>
        <v>西南大学</v>
      </c>
      <c r="K53" s="5" t="str">
        <f>"英语语言文学"</f>
        <v>英语语言文学</v>
      </c>
      <c r="L53" s="5" t="str">
        <f t="shared" si="11"/>
        <v>硕士研究生</v>
      </c>
      <c r="M53" s="5" t="str">
        <f t="shared" si="12"/>
        <v>硕士</v>
      </c>
    </row>
    <row r="54" spans="1:13" s="1" customFormat="1" ht="36" customHeight="1">
      <c r="A54" s="5" t="s">
        <v>13</v>
      </c>
      <c r="B54" s="5" t="str">
        <f t="shared" ref="B54:B64" si="14">"YZ2024004"</f>
        <v>YZ2024004</v>
      </c>
      <c r="C54" s="6" t="s">
        <v>18</v>
      </c>
      <c r="D54" s="5" t="s">
        <v>15</v>
      </c>
      <c r="E54" s="5" t="str">
        <f>"石绍伍"</f>
        <v>石绍伍</v>
      </c>
      <c r="F54" s="5" t="str">
        <f>"男"</f>
        <v>男</v>
      </c>
      <c r="G54" s="5" t="str">
        <f>"土家族"</f>
        <v>土家族</v>
      </c>
      <c r="H54" s="5" t="str">
        <f>"1995-09-08"</f>
        <v>1995-09-08</v>
      </c>
      <c r="I54" s="5" t="str">
        <f>"中共党员"</f>
        <v>中共党员</v>
      </c>
      <c r="J54" s="5" t="str">
        <f>"湖北民族大学"</f>
        <v>湖北民族大学</v>
      </c>
      <c r="K54" s="5" t="str">
        <f>"物理学"</f>
        <v>物理学</v>
      </c>
      <c r="L54" s="5" t="str">
        <f>"本科"</f>
        <v>本科</v>
      </c>
      <c r="M54" s="5" t="str">
        <f>"学士"</f>
        <v>学士</v>
      </c>
    </row>
    <row r="55" spans="1:13" s="1" customFormat="1" ht="36" customHeight="1">
      <c r="A55" s="5" t="s">
        <v>13</v>
      </c>
      <c r="B55" s="5" t="str">
        <f t="shared" si="14"/>
        <v>YZ2024004</v>
      </c>
      <c r="C55" s="6" t="s">
        <v>18</v>
      </c>
      <c r="D55" s="5" t="s">
        <v>15</v>
      </c>
      <c r="E55" s="5" t="str">
        <f>"侯贤衔"</f>
        <v>侯贤衔</v>
      </c>
      <c r="F55" s="5" t="str">
        <f>"男"</f>
        <v>男</v>
      </c>
      <c r="G55" s="5" t="str">
        <f>"汉族"</f>
        <v>汉族</v>
      </c>
      <c r="H55" s="5" t="str">
        <f>"1997-04-29"</f>
        <v>1997-04-29</v>
      </c>
      <c r="I55" s="5" t="str">
        <f t="shared" ref="I55:I60" si="15">"共青团员"</f>
        <v>共青团员</v>
      </c>
      <c r="J55" s="5" t="str">
        <f>"长江大学"</f>
        <v>长江大学</v>
      </c>
      <c r="K55" s="5" t="str">
        <f>"过程装备与控制工程"</f>
        <v>过程装备与控制工程</v>
      </c>
      <c r="L55" s="5" t="str">
        <f>"本科"</f>
        <v>本科</v>
      </c>
      <c r="M55" s="5" t="str">
        <f>"学士"</f>
        <v>学士</v>
      </c>
    </row>
    <row r="56" spans="1:13" s="1" customFormat="1" ht="36" customHeight="1">
      <c r="A56" s="5" t="s">
        <v>13</v>
      </c>
      <c r="B56" s="5" t="str">
        <f t="shared" si="14"/>
        <v>YZ2024004</v>
      </c>
      <c r="C56" s="6" t="s">
        <v>18</v>
      </c>
      <c r="D56" s="5" t="s">
        <v>15</v>
      </c>
      <c r="E56" s="5" t="str">
        <f>"肖双贤"</f>
        <v>肖双贤</v>
      </c>
      <c r="F56" s="5" t="str">
        <f>"男"</f>
        <v>男</v>
      </c>
      <c r="G56" s="5" t="str">
        <f>"土家族"</f>
        <v>土家族</v>
      </c>
      <c r="H56" s="5" t="str">
        <f>"2001-07-27"</f>
        <v>2001-07-27</v>
      </c>
      <c r="I56" s="5" t="str">
        <f t="shared" si="15"/>
        <v>共青团员</v>
      </c>
      <c r="J56" s="5" t="str">
        <f>"湖北民族大学"</f>
        <v>湖北民族大学</v>
      </c>
      <c r="K56" s="5" t="str">
        <f>"物理学"</f>
        <v>物理学</v>
      </c>
      <c r="L56" s="5" t="str">
        <f t="shared" ref="L56:L98" si="16">"本科"</f>
        <v>本科</v>
      </c>
      <c r="M56" s="5" t="str">
        <f t="shared" ref="M56:M92" si="17">"学士"</f>
        <v>学士</v>
      </c>
    </row>
    <row r="57" spans="1:13" s="1" customFormat="1" ht="36" customHeight="1">
      <c r="A57" s="5" t="s">
        <v>13</v>
      </c>
      <c r="B57" s="5" t="str">
        <f t="shared" si="14"/>
        <v>YZ2024004</v>
      </c>
      <c r="C57" s="6" t="s">
        <v>18</v>
      </c>
      <c r="D57" s="5" t="s">
        <v>15</v>
      </c>
      <c r="E57" s="5" t="str">
        <f>"洪伟"</f>
        <v>洪伟</v>
      </c>
      <c r="F57" s="5" t="str">
        <f>"男"</f>
        <v>男</v>
      </c>
      <c r="G57" s="5" t="str">
        <f>"苗族"</f>
        <v>苗族</v>
      </c>
      <c r="H57" s="5" t="str">
        <f>"1996-02-05"</f>
        <v>1996-02-05</v>
      </c>
      <c r="I57" s="5" t="str">
        <f t="shared" si="15"/>
        <v>共青团员</v>
      </c>
      <c r="J57" s="5" t="str">
        <f>"宜春学院"</f>
        <v>宜春学院</v>
      </c>
      <c r="K57" s="5" t="str">
        <f>"物理学"</f>
        <v>物理学</v>
      </c>
      <c r="L57" s="5" t="str">
        <f t="shared" si="16"/>
        <v>本科</v>
      </c>
      <c r="M57" s="5" t="str">
        <f t="shared" si="17"/>
        <v>学士</v>
      </c>
    </row>
    <row r="58" spans="1:13" s="1" customFormat="1" ht="36" customHeight="1">
      <c r="A58" s="5" t="s">
        <v>13</v>
      </c>
      <c r="B58" s="5" t="str">
        <f t="shared" si="14"/>
        <v>YZ2024004</v>
      </c>
      <c r="C58" s="6" t="s">
        <v>18</v>
      </c>
      <c r="D58" s="5" t="s">
        <v>15</v>
      </c>
      <c r="E58" s="5" t="str">
        <f>"余红"</f>
        <v>余红</v>
      </c>
      <c r="F58" s="5" t="str">
        <f>"女"</f>
        <v>女</v>
      </c>
      <c r="G58" s="5" t="str">
        <f>"土家族"</f>
        <v>土家族</v>
      </c>
      <c r="H58" s="5" t="str">
        <f>"2001-02-26"</f>
        <v>2001-02-26</v>
      </c>
      <c r="I58" s="5" t="str">
        <f t="shared" si="15"/>
        <v>共青团员</v>
      </c>
      <c r="J58" s="5" t="str">
        <f>"辽宁工程技术大学"</f>
        <v>辽宁工程技术大学</v>
      </c>
      <c r="K58" s="5" t="str">
        <f>"理论与应用力学"</f>
        <v>理论与应用力学</v>
      </c>
      <c r="L58" s="5" t="str">
        <f t="shared" si="16"/>
        <v>本科</v>
      </c>
      <c r="M58" s="5" t="str">
        <f t="shared" si="17"/>
        <v>学士</v>
      </c>
    </row>
    <row r="59" spans="1:13" s="1" customFormat="1" ht="36" customHeight="1">
      <c r="A59" s="5" t="s">
        <v>13</v>
      </c>
      <c r="B59" s="5" t="str">
        <f t="shared" si="14"/>
        <v>YZ2024004</v>
      </c>
      <c r="C59" s="6" t="s">
        <v>18</v>
      </c>
      <c r="D59" s="5" t="s">
        <v>15</v>
      </c>
      <c r="E59" s="5" t="str">
        <f>"姚举"</f>
        <v>姚举</v>
      </c>
      <c r="F59" s="5" t="str">
        <f t="shared" ref="F59:F66" si="18">"男"</f>
        <v>男</v>
      </c>
      <c r="G59" s="5" t="str">
        <f>"土家族"</f>
        <v>土家族</v>
      </c>
      <c r="H59" s="5" t="str">
        <f>"2001-03-22"</f>
        <v>2001-03-22</v>
      </c>
      <c r="I59" s="5" t="str">
        <f t="shared" si="15"/>
        <v>共青团员</v>
      </c>
      <c r="J59" s="5" t="str">
        <f>"湖北民族大学"</f>
        <v>湖北民族大学</v>
      </c>
      <c r="K59" s="5" t="str">
        <f>"物理学"</f>
        <v>物理学</v>
      </c>
      <c r="L59" s="5" t="str">
        <f t="shared" si="16"/>
        <v>本科</v>
      </c>
      <c r="M59" s="5" t="str">
        <f t="shared" si="17"/>
        <v>学士</v>
      </c>
    </row>
    <row r="60" spans="1:13" s="1" customFormat="1" ht="36" customHeight="1">
      <c r="A60" s="5" t="s">
        <v>13</v>
      </c>
      <c r="B60" s="5" t="str">
        <f t="shared" si="14"/>
        <v>YZ2024004</v>
      </c>
      <c r="C60" s="6" t="s">
        <v>18</v>
      </c>
      <c r="D60" s="5" t="s">
        <v>15</v>
      </c>
      <c r="E60" s="5" t="str">
        <f>"罗延辉"</f>
        <v>罗延辉</v>
      </c>
      <c r="F60" s="5" t="str">
        <f t="shared" si="18"/>
        <v>男</v>
      </c>
      <c r="G60" s="5" t="str">
        <f>"土家族"</f>
        <v>土家族</v>
      </c>
      <c r="H60" s="5" t="str">
        <f>"2000-03-13"</f>
        <v>2000-03-13</v>
      </c>
      <c r="I60" s="5" t="str">
        <f t="shared" si="15"/>
        <v>共青团员</v>
      </c>
      <c r="J60" s="5" t="str">
        <f>"重庆师范大学"</f>
        <v>重庆师范大学</v>
      </c>
      <c r="K60" s="5" t="str">
        <f>"物理学（师范）"</f>
        <v>物理学（师范）</v>
      </c>
      <c r="L60" s="5" t="str">
        <f t="shared" si="16"/>
        <v>本科</v>
      </c>
      <c r="M60" s="5" t="str">
        <f t="shared" si="17"/>
        <v>学士</v>
      </c>
    </row>
    <row r="61" spans="1:13" s="1" customFormat="1" ht="36" customHeight="1">
      <c r="A61" s="5" t="s">
        <v>13</v>
      </c>
      <c r="B61" s="5" t="str">
        <f t="shared" si="14"/>
        <v>YZ2024004</v>
      </c>
      <c r="C61" s="6" t="s">
        <v>18</v>
      </c>
      <c r="D61" s="5" t="s">
        <v>15</v>
      </c>
      <c r="E61" s="5" t="str">
        <f>"卢润"</f>
        <v>卢润</v>
      </c>
      <c r="F61" s="5" t="str">
        <f t="shared" si="18"/>
        <v>男</v>
      </c>
      <c r="G61" s="5" t="str">
        <f>"汉族"</f>
        <v>汉族</v>
      </c>
      <c r="H61" s="5" t="str">
        <f>"1993-03-02"</f>
        <v>1993-03-02</v>
      </c>
      <c r="I61" s="5" t="str">
        <f>"群众"</f>
        <v>群众</v>
      </c>
      <c r="J61" s="5" t="str">
        <f>"湖北工业大学商贸学院"</f>
        <v>湖北工业大学商贸学院</v>
      </c>
      <c r="K61" s="5" t="str">
        <f>"机械设计制造及其自动化"</f>
        <v>机械设计制造及其自动化</v>
      </c>
      <c r="L61" s="5" t="str">
        <f t="shared" si="16"/>
        <v>本科</v>
      </c>
      <c r="M61" s="5" t="str">
        <f t="shared" si="17"/>
        <v>学士</v>
      </c>
    </row>
    <row r="62" spans="1:13" s="1" customFormat="1" ht="36" customHeight="1">
      <c r="A62" s="5" t="s">
        <v>13</v>
      </c>
      <c r="B62" s="5" t="str">
        <f t="shared" si="14"/>
        <v>YZ2024004</v>
      </c>
      <c r="C62" s="6" t="s">
        <v>18</v>
      </c>
      <c r="D62" s="5" t="s">
        <v>15</v>
      </c>
      <c r="E62" s="5" t="str">
        <f>"向云山"</f>
        <v>向云山</v>
      </c>
      <c r="F62" s="5" t="str">
        <f t="shared" si="18"/>
        <v>男</v>
      </c>
      <c r="G62" s="5" t="str">
        <f>"土家族"</f>
        <v>土家族</v>
      </c>
      <c r="H62" s="5" t="str">
        <f>"1995-07-07"</f>
        <v>1995-07-07</v>
      </c>
      <c r="I62" s="5" t="str">
        <f>"中共党员"</f>
        <v>中共党员</v>
      </c>
      <c r="J62" s="5" t="str">
        <f>"暨南大学"</f>
        <v>暨南大学</v>
      </c>
      <c r="K62" s="5" t="str">
        <f>"应用物理学"</f>
        <v>应用物理学</v>
      </c>
      <c r="L62" s="5" t="str">
        <f t="shared" si="16"/>
        <v>本科</v>
      </c>
      <c r="M62" s="5" t="str">
        <f t="shared" si="17"/>
        <v>学士</v>
      </c>
    </row>
    <row r="63" spans="1:13" s="1" customFormat="1" ht="36" customHeight="1">
      <c r="A63" s="5" t="s">
        <v>13</v>
      </c>
      <c r="B63" s="5" t="str">
        <f t="shared" si="14"/>
        <v>YZ2024004</v>
      </c>
      <c r="C63" s="6" t="s">
        <v>18</v>
      </c>
      <c r="D63" s="5" t="s">
        <v>15</v>
      </c>
      <c r="E63" s="5" t="str">
        <f>"周良龙"</f>
        <v>周良龙</v>
      </c>
      <c r="F63" s="5" t="str">
        <f t="shared" si="18"/>
        <v>男</v>
      </c>
      <c r="G63" s="5" t="str">
        <f>"土家族"</f>
        <v>土家族</v>
      </c>
      <c r="H63" s="5" t="str">
        <f>"1999-10-01"</f>
        <v>1999-10-01</v>
      </c>
      <c r="I63" s="5" t="str">
        <f>"共青团员"</f>
        <v>共青团员</v>
      </c>
      <c r="J63" s="5" t="str">
        <f>"湖北民族大学"</f>
        <v>湖北民族大学</v>
      </c>
      <c r="K63" s="5" t="str">
        <f>"物理学"</f>
        <v>物理学</v>
      </c>
      <c r="L63" s="5" t="str">
        <f t="shared" si="16"/>
        <v>本科</v>
      </c>
      <c r="M63" s="5" t="str">
        <f t="shared" si="17"/>
        <v>学士</v>
      </c>
    </row>
    <row r="64" spans="1:13" s="1" customFormat="1" ht="36" customHeight="1">
      <c r="A64" s="5" t="s">
        <v>13</v>
      </c>
      <c r="B64" s="5" t="str">
        <f t="shared" si="14"/>
        <v>YZ2024004</v>
      </c>
      <c r="C64" s="6" t="s">
        <v>18</v>
      </c>
      <c r="D64" s="5" t="s">
        <v>15</v>
      </c>
      <c r="E64" s="5" t="str">
        <f>"柯永华"</f>
        <v>柯永华</v>
      </c>
      <c r="F64" s="5" t="str">
        <f t="shared" si="18"/>
        <v>男</v>
      </c>
      <c r="G64" s="5" t="str">
        <f>"汉族"</f>
        <v>汉族</v>
      </c>
      <c r="H64" s="5" t="str">
        <f>"2000-10-24"</f>
        <v>2000-10-24</v>
      </c>
      <c r="I64" s="5" t="str">
        <f>"共青团员"</f>
        <v>共青团员</v>
      </c>
      <c r="J64" s="5" t="str">
        <f>"中国地质大学（武汉）"</f>
        <v>中国地质大学（武汉）</v>
      </c>
      <c r="K64" s="5" t="str">
        <f>"物理学"</f>
        <v>物理学</v>
      </c>
      <c r="L64" s="5" t="str">
        <f t="shared" si="16"/>
        <v>本科</v>
      </c>
      <c r="M64" s="5" t="str">
        <f t="shared" si="17"/>
        <v>学士</v>
      </c>
    </row>
    <row r="65" spans="1:13" s="1" customFormat="1" ht="36" customHeight="1">
      <c r="A65" s="5" t="s">
        <v>13</v>
      </c>
      <c r="B65" s="5" t="str">
        <f t="shared" ref="B65:B103" si="19">"YZ2024005"</f>
        <v>YZ2024005</v>
      </c>
      <c r="C65" s="6" t="s">
        <v>19</v>
      </c>
      <c r="D65" s="5" t="s">
        <v>15</v>
      </c>
      <c r="E65" s="5" t="str">
        <f>"李应城"</f>
        <v>李应城</v>
      </c>
      <c r="F65" s="5" t="str">
        <f t="shared" si="18"/>
        <v>男</v>
      </c>
      <c r="G65" s="5" t="str">
        <f>"土家族"</f>
        <v>土家族</v>
      </c>
      <c r="H65" s="5" t="str">
        <f>"1997-12-19"</f>
        <v>1997-12-19</v>
      </c>
      <c r="I65" s="5" t="str">
        <f>"共青团员"</f>
        <v>共青团员</v>
      </c>
      <c r="J65" s="5" t="str">
        <f>"西南民族大学"</f>
        <v>西南民族大学</v>
      </c>
      <c r="K65" s="5" t="str">
        <f>"应用化学"</f>
        <v>应用化学</v>
      </c>
      <c r="L65" s="5" t="str">
        <f t="shared" si="16"/>
        <v>本科</v>
      </c>
      <c r="M65" s="5" t="str">
        <f t="shared" si="17"/>
        <v>学士</v>
      </c>
    </row>
    <row r="66" spans="1:13" s="1" customFormat="1" ht="36" customHeight="1">
      <c r="A66" s="5" t="s">
        <v>13</v>
      </c>
      <c r="B66" s="5" t="str">
        <f t="shared" si="19"/>
        <v>YZ2024005</v>
      </c>
      <c r="C66" s="6" t="s">
        <v>19</v>
      </c>
      <c r="D66" s="5" t="s">
        <v>15</v>
      </c>
      <c r="E66" s="5" t="str">
        <f>"袁焓"</f>
        <v>袁焓</v>
      </c>
      <c r="F66" s="5" t="str">
        <f t="shared" si="18"/>
        <v>男</v>
      </c>
      <c r="G66" s="5" t="str">
        <f>"土家族"</f>
        <v>土家族</v>
      </c>
      <c r="H66" s="5" t="str">
        <f>"2000-12-11"</f>
        <v>2000-12-11</v>
      </c>
      <c r="I66" s="5" t="str">
        <f>"共青团员"</f>
        <v>共青团员</v>
      </c>
      <c r="J66" s="5" t="str">
        <f>"湖北大学"</f>
        <v>湖北大学</v>
      </c>
      <c r="K66" s="5" t="str">
        <f>"化学（师范）"</f>
        <v>化学（师范）</v>
      </c>
      <c r="L66" s="5" t="str">
        <f t="shared" si="16"/>
        <v>本科</v>
      </c>
      <c r="M66" s="5" t="str">
        <f t="shared" si="17"/>
        <v>学士</v>
      </c>
    </row>
    <row r="67" spans="1:13" s="1" customFormat="1" ht="36" customHeight="1">
      <c r="A67" s="5" t="s">
        <v>13</v>
      </c>
      <c r="B67" s="5" t="str">
        <f t="shared" si="19"/>
        <v>YZ2024005</v>
      </c>
      <c r="C67" s="6" t="s">
        <v>19</v>
      </c>
      <c r="D67" s="5" t="s">
        <v>15</v>
      </c>
      <c r="E67" s="5" t="str">
        <f>"曹敏"</f>
        <v>曹敏</v>
      </c>
      <c r="F67" s="5" t="str">
        <f>"女"</f>
        <v>女</v>
      </c>
      <c r="G67" s="5" t="str">
        <f>"土家族"</f>
        <v>土家族</v>
      </c>
      <c r="H67" s="5" t="str">
        <f>"1999-01-24"</f>
        <v>1999-01-24</v>
      </c>
      <c r="I67" s="5" t="str">
        <f>"共青团员"</f>
        <v>共青团员</v>
      </c>
      <c r="J67" s="5" t="str">
        <f>"湖北民族大学"</f>
        <v>湖北民族大学</v>
      </c>
      <c r="K67" s="5" t="str">
        <f>"化学"</f>
        <v>化学</v>
      </c>
      <c r="L67" s="5" t="str">
        <f t="shared" si="16"/>
        <v>本科</v>
      </c>
      <c r="M67" s="5" t="str">
        <f t="shared" si="17"/>
        <v>学士</v>
      </c>
    </row>
    <row r="68" spans="1:13" s="1" customFormat="1" ht="36" customHeight="1">
      <c r="A68" s="5" t="s">
        <v>13</v>
      </c>
      <c r="B68" s="5" t="str">
        <f t="shared" si="19"/>
        <v>YZ2024005</v>
      </c>
      <c r="C68" s="6" t="s">
        <v>19</v>
      </c>
      <c r="D68" s="5" t="s">
        <v>15</v>
      </c>
      <c r="E68" s="5" t="str">
        <f>"向艳"</f>
        <v>向艳</v>
      </c>
      <c r="F68" s="5" t="str">
        <f>"女"</f>
        <v>女</v>
      </c>
      <c r="G68" s="5" t="str">
        <f>"苗族"</f>
        <v>苗族</v>
      </c>
      <c r="H68" s="5" t="str">
        <f>"2001-05-24"</f>
        <v>2001-05-24</v>
      </c>
      <c r="I68" s="5" t="str">
        <f>"中共预备党员"</f>
        <v>中共预备党员</v>
      </c>
      <c r="J68" s="5" t="str">
        <f>"湖北第二师范学院"</f>
        <v>湖北第二师范学院</v>
      </c>
      <c r="K68" s="5" t="str">
        <f>"化学"</f>
        <v>化学</v>
      </c>
      <c r="L68" s="5" t="str">
        <f t="shared" si="16"/>
        <v>本科</v>
      </c>
      <c r="M68" s="5" t="str">
        <f t="shared" si="17"/>
        <v>学士</v>
      </c>
    </row>
    <row r="69" spans="1:13" s="1" customFormat="1" ht="36" customHeight="1">
      <c r="A69" s="5" t="s">
        <v>13</v>
      </c>
      <c r="B69" s="5" t="str">
        <f t="shared" si="19"/>
        <v>YZ2024005</v>
      </c>
      <c r="C69" s="6" t="s">
        <v>19</v>
      </c>
      <c r="D69" s="5" t="s">
        <v>15</v>
      </c>
      <c r="E69" s="5" t="str">
        <f>"张钦琳"</f>
        <v>张钦琳</v>
      </c>
      <c r="F69" s="5" t="str">
        <f>"女"</f>
        <v>女</v>
      </c>
      <c r="G69" s="5" t="str">
        <f>"汉族"</f>
        <v>汉族</v>
      </c>
      <c r="H69" s="5" t="str">
        <f>"2002-07-04"</f>
        <v>2002-07-04</v>
      </c>
      <c r="I69" s="5" t="str">
        <f>"共青团员"</f>
        <v>共青团员</v>
      </c>
      <c r="J69" s="5" t="str">
        <f>"湖北大学"</f>
        <v>湖北大学</v>
      </c>
      <c r="K69" s="5" t="str">
        <f>"化学"</f>
        <v>化学</v>
      </c>
      <c r="L69" s="5" t="str">
        <f t="shared" si="16"/>
        <v>本科</v>
      </c>
      <c r="M69" s="5" t="str">
        <f t="shared" si="17"/>
        <v>学士</v>
      </c>
    </row>
    <row r="70" spans="1:13" s="1" customFormat="1" ht="36" customHeight="1">
      <c r="A70" s="5" t="s">
        <v>13</v>
      </c>
      <c r="B70" s="5" t="str">
        <f t="shared" si="19"/>
        <v>YZ2024005</v>
      </c>
      <c r="C70" s="6" t="s">
        <v>19</v>
      </c>
      <c r="D70" s="5" t="s">
        <v>15</v>
      </c>
      <c r="E70" s="5" t="str">
        <f>"郭鹏"</f>
        <v>郭鹏</v>
      </c>
      <c r="F70" s="5" t="str">
        <f>"男"</f>
        <v>男</v>
      </c>
      <c r="G70" s="5" t="str">
        <f>"苗族"</f>
        <v>苗族</v>
      </c>
      <c r="H70" s="5" t="str">
        <f>"1994-04-26"</f>
        <v>1994-04-26</v>
      </c>
      <c r="I70" s="5" t="str">
        <f>"群众"</f>
        <v>群众</v>
      </c>
      <c r="J70" s="5" t="str">
        <f>"湖北民族学院"</f>
        <v>湖北民族学院</v>
      </c>
      <c r="K70" s="5" t="str">
        <f>"应用化学"</f>
        <v>应用化学</v>
      </c>
      <c r="L70" s="5" t="str">
        <f t="shared" si="16"/>
        <v>本科</v>
      </c>
      <c r="M70" s="5" t="str">
        <f t="shared" si="17"/>
        <v>学士</v>
      </c>
    </row>
    <row r="71" spans="1:13" s="1" customFormat="1" ht="36" customHeight="1">
      <c r="A71" s="5" t="s">
        <v>13</v>
      </c>
      <c r="B71" s="5" t="str">
        <f t="shared" si="19"/>
        <v>YZ2024005</v>
      </c>
      <c r="C71" s="6" t="s">
        <v>19</v>
      </c>
      <c r="D71" s="5" t="s">
        <v>15</v>
      </c>
      <c r="E71" s="5" t="str">
        <f>"余志军"</f>
        <v>余志军</v>
      </c>
      <c r="F71" s="5" t="str">
        <f>"男"</f>
        <v>男</v>
      </c>
      <c r="G71" s="5" t="str">
        <f>"土家族"</f>
        <v>土家族</v>
      </c>
      <c r="H71" s="5" t="str">
        <f>"1997-01-26"</f>
        <v>1997-01-26</v>
      </c>
      <c r="I71" s="5" t="str">
        <f>"共青团员"</f>
        <v>共青团员</v>
      </c>
      <c r="J71" s="5" t="str">
        <f>"赣南师范大学"</f>
        <v>赣南师范大学</v>
      </c>
      <c r="K71" s="5" t="str">
        <f>"化学"</f>
        <v>化学</v>
      </c>
      <c r="L71" s="5" t="str">
        <f t="shared" si="16"/>
        <v>本科</v>
      </c>
      <c r="M71" s="5" t="str">
        <f t="shared" si="17"/>
        <v>学士</v>
      </c>
    </row>
    <row r="72" spans="1:13" s="1" customFormat="1" ht="36" customHeight="1">
      <c r="A72" s="5" t="s">
        <v>13</v>
      </c>
      <c r="B72" s="5" t="str">
        <f t="shared" si="19"/>
        <v>YZ2024005</v>
      </c>
      <c r="C72" s="6" t="s">
        <v>19</v>
      </c>
      <c r="D72" s="5" t="s">
        <v>15</v>
      </c>
      <c r="E72" s="5" t="str">
        <f>"杨寒"</f>
        <v>杨寒</v>
      </c>
      <c r="F72" s="5" t="str">
        <f t="shared" ref="F72:F77" si="20">"女"</f>
        <v>女</v>
      </c>
      <c r="G72" s="5" t="str">
        <f>"汉族"</f>
        <v>汉族</v>
      </c>
      <c r="H72" s="5" t="str">
        <f>"2001-11-15"</f>
        <v>2001-11-15</v>
      </c>
      <c r="I72" s="5" t="str">
        <f>"共青团员"</f>
        <v>共青团员</v>
      </c>
      <c r="J72" s="5" t="str">
        <f>"湖北大学"</f>
        <v>湖北大学</v>
      </c>
      <c r="K72" s="5" t="str">
        <f>"化学师范"</f>
        <v>化学师范</v>
      </c>
      <c r="L72" s="5" t="str">
        <f t="shared" si="16"/>
        <v>本科</v>
      </c>
      <c r="M72" s="5" t="str">
        <f t="shared" si="17"/>
        <v>学士</v>
      </c>
    </row>
    <row r="73" spans="1:13" s="1" customFormat="1" ht="36" customHeight="1">
      <c r="A73" s="5" t="s">
        <v>13</v>
      </c>
      <c r="B73" s="5" t="str">
        <f t="shared" si="19"/>
        <v>YZ2024005</v>
      </c>
      <c r="C73" s="6" t="s">
        <v>19</v>
      </c>
      <c r="D73" s="5" t="s">
        <v>15</v>
      </c>
      <c r="E73" s="5" t="str">
        <f>"邹欢"</f>
        <v>邹欢</v>
      </c>
      <c r="F73" s="5" t="str">
        <f t="shared" si="20"/>
        <v>女</v>
      </c>
      <c r="G73" s="5" t="str">
        <f>"土家族"</f>
        <v>土家族</v>
      </c>
      <c r="H73" s="5" t="str">
        <f>"1995-11-13"</f>
        <v>1995-11-13</v>
      </c>
      <c r="I73" s="5" t="str">
        <f>"共青团员"</f>
        <v>共青团员</v>
      </c>
      <c r="J73" s="5" t="str">
        <f>"三峡大学"</f>
        <v>三峡大学</v>
      </c>
      <c r="K73" s="5" t="str">
        <f>"制药工程"</f>
        <v>制药工程</v>
      </c>
      <c r="L73" s="5" t="str">
        <f t="shared" si="16"/>
        <v>本科</v>
      </c>
      <c r="M73" s="5" t="str">
        <f t="shared" si="17"/>
        <v>学士</v>
      </c>
    </row>
    <row r="74" spans="1:13" s="1" customFormat="1" ht="36" customHeight="1">
      <c r="A74" s="5" t="s">
        <v>13</v>
      </c>
      <c r="B74" s="5" t="str">
        <f t="shared" si="19"/>
        <v>YZ2024005</v>
      </c>
      <c r="C74" s="6" t="s">
        <v>19</v>
      </c>
      <c r="D74" s="5" t="s">
        <v>15</v>
      </c>
      <c r="E74" s="5" t="str">
        <f>"徐源"</f>
        <v>徐源</v>
      </c>
      <c r="F74" s="5" t="str">
        <f t="shared" si="20"/>
        <v>女</v>
      </c>
      <c r="G74" s="5" t="str">
        <f>"土家族"</f>
        <v>土家族</v>
      </c>
      <c r="H74" s="5" t="str">
        <f>"1994-01-03"</f>
        <v>1994-01-03</v>
      </c>
      <c r="I74" s="5" t="str">
        <f>"中共党员"</f>
        <v>中共党员</v>
      </c>
      <c r="J74" s="5" t="str">
        <f>"湖北民族学院"</f>
        <v>湖北民族学院</v>
      </c>
      <c r="K74" s="5" t="str">
        <f>"化学工程与工艺"</f>
        <v>化学工程与工艺</v>
      </c>
      <c r="L74" s="5" t="str">
        <f t="shared" si="16"/>
        <v>本科</v>
      </c>
      <c r="M74" s="5" t="str">
        <f t="shared" si="17"/>
        <v>学士</v>
      </c>
    </row>
    <row r="75" spans="1:13" s="1" customFormat="1" ht="36" customHeight="1">
      <c r="A75" s="5" t="s">
        <v>13</v>
      </c>
      <c r="B75" s="5" t="str">
        <f t="shared" si="19"/>
        <v>YZ2024005</v>
      </c>
      <c r="C75" s="6" t="s">
        <v>19</v>
      </c>
      <c r="D75" s="5" t="s">
        <v>15</v>
      </c>
      <c r="E75" s="5" t="str">
        <f>"杨丽"</f>
        <v>杨丽</v>
      </c>
      <c r="F75" s="5" t="str">
        <f t="shared" si="20"/>
        <v>女</v>
      </c>
      <c r="G75" s="5" t="str">
        <f>"汉族"</f>
        <v>汉族</v>
      </c>
      <c r="H75" s="5" t="str">
        <f>"2002-04-09"</f>
        <v>2002-04-09</v>
      </c>
      <c r="I75" s="5" t="str">
        <f>"共青团员"</f>
        <v>共青团员</v>
      </c>
      <c r="J75" s="5" t="str">
        <f>"湖北大学"</f>
        <v>湖北大学</v>
      </c>
      <c r="K75" s="5" t="str">
        <f>"应用化学"</f>
        <v>应用化学</v>
      </c>
      <c r="L75" s="5" t="str">
        <f t="shared" si="16"/>
        <v>本科</v>
      </c>
      <c r="M75" s="5" t="str">
        <f t="shared" si="17"/>
        <v>学士</v>
      </c>
    </row>
    <row r="76" spans="1:13" s="1" customFormat="1" ht="36" customHeight="1">
      <c r="A76" s="5" t="s">
        <v>13</v>
      </c>
      <c r="B76" s="5" t="str">
        <f t="shared" si="19"/>
        <v>YZ2024005</v>
      </c>
      <c r="C76" s="6" t="s">
        <v>19</v>
      </c>
      <c r="D76" s="5" t="s">
        <v>15</v>
      </c>
      <c r="E76" s="5" t="str">
        <f>"谭家润"</f>
        <v>谭家润</v>
      </c>
      <c r="F76" s="5" t="str">
        <f t="shared" si="20"/>
        <v>女</v>
      </c>
      <c r="G76" s="5" t="str">
        <f>"土家族"</f>
        <v>土家族</v>
      </c>
      <c r="H76" s="5" t="str">
        <f>"1998-08-18"</f>
        <v>1998-08-18</v>
      </c>
      <c r="I76" s="5" t="str">
        <f>"中共党员"</f>
        <v>中共党员</v>
      </c>
      <c r="J76" s="5" t="str">
        <f>"湖北民族大学"</f>
        <v>湖北民族大学</v>
      </c>
      <c r="K76" s="5" t="str">
        <f>"化学"</f>
        <v>化学</v>
      </c>
      <c r="L76" s="5" t="str">
        <f t="shared" si="16"/>
        <v>本科</v>
      </c>
      <c r="M76" s="5" t="str">
        <f t="shared" si="17"/>
        <v>学士</v>
      </c>
    </row>
    <row r="77" spans="1:13" s="1" customFormat="1" ht="36" customHeight="1">
      <c r="A77" s="5" t="s">
        <v>13</v>
      </c>
      <c r="B77" s="5" t="str">
        <f t="shared" si="19"/>
        <v>YZ2024005</v>
      </c>
      <c r="C77" s="6" t="s">
        <v>19</v>
      </c>
      <c r="D77" s="5" t="s">
        <v>15</v>
      </c>
      <c r="E77" s="5" t="str">
        <f>"杨洁欣"</f>
        <v>杨洁欣</v>
      </c>
      <c r="F77" s="5" t="str">
        <f t="shared" si="20"/>
        <v>女</v>
      </c>
      <c r="G77" s="5" t="str">
        <f>"苗族"</f>
        <v>苗族</v>
      </c>
      <c r="H77" s="5" t="str">
        <f>"1998-02-14"</f>
        <v>1998-02-14</v>
      </c>
      <c r="I77" s="5" t="str">
        <f>"群众"</f>
        <v>群众</v>
      </c>
      <c r="J77" s="5" t="str">
        <f>"湖北师范大学"</f>
        <v>湖北师范大学</v>
      </c>
      <c r="K77" s="5" t="str">
        <f>"化学工程与工艺"</f>
        <v>化学工程与工艺</v>
      </c>
      <c r="L77" s="5" t="str">
        <f t="shared" si="16"/>
        <v>本科</v>
      </c>
      <c r="M77" s="5" t="str">
        <f t="shared" si="17"/>
        <v>学士</v>
      </c>
    </row>
    <row r="78" spans="1:13" s="1" customFormat="1" ht="36" customHeight="1">
      <c r="A78" s="5" t="s">
        <v>13</v>
      </c>
      <c r="B78" s="5" t="str">
        <f t="shared" si="19"/>
        <v>YZ2024005</v>
      </c>
      <c r="C78" s="6" t="s">
        <v>19</v>
      </c>
      <c r="D78" s="5" t="s">
        <v>15</v>
      </c>
      <c r="E78" s="5" t="str">
        <f>"谭祖旭"</f>
        <v>谭祖旭</v>
      </c>
      <c r="F78" s="5" t="str">
        <f>"男"</f>
        <v>男</v>
      </c>
      <c r="G78" s="5" t="str">
        <f>"土家族"</f>
        <v>土家族</v>
      </c>
      <c r="H78" s="5" t="str">
        <f>"1998-04-29"</f>
        <v>1998-04-29</v>
      </c>
      <c r="I78" s="5" t="str">
        <f>"共青团员"</f>
        <v>共青团员</v>
      </c>
      <c r="J78" s="5" t="str">
        <f>"湖北师范大学"</f>
        <v>湖北师范大学</v>
      </c>
      <c r="K78" s="5" t="str">
        <f>"应用化学"</f>
        <v>应用化学</v>
      </c>
      <c r="L78" s="5" t="str">
        <f t="shared" si="16"/>
        <v>本科</v>
      </c>
      <c r="M78" s="5" t="str">
        <f t="shared" si="17"/>
        <v>学士</v>
      </c>
    </row>
    <row r="79" spans="1:13" s="1" customFormat="1" ht="36" customHeight="1">
      <c r="A79" s="5" t="s">
        <v>13</v>
      </c>
      <c r="B79" s="5" t="str">
        <f t="shared" si="19"/>
        <v>YZ2024005</v>
      </c>
      <c r="C79" s="6" t="s">
        <v>19</v>
      </c>
      <c r="D79" s="5" t="s">
        <v>15</v>
      </c>
      <c r="E79" s="5" t="str">
        <f>"刘鑫"</f>
        <v>刘鑫</v>
      </c>
      <c r="F79" s="5" t="str">
        <f>"男"</f>
        <v>男</v>
      </c>
      <c r="G79" s="5" t="str">
        <f>"土家族"</f>
        <v>土家族</v>
      </c>
      <c r="H79" s="5" t="str">
        <f>"1996-05-16"</f>
        <v>1996-05-16</v>
      </c>
      <c r="I79" s="5" t="str">
        <f>"群众"</f>
        <v>群众</v>
      </c>
      <c r="J79" s="5" t="str">
        <f>"湖北民族大学"</f>
        <v>湖北民族大学</v>
      </c>
      <c r="K79" s="5" t="str">
        <f>"化学工程与工艺"</f>
        <v>化学工程与工艺</v>
      </c>
      <c r="L79" s="5" t="str">
        <f t="shared" si="16"/>
        <v>本科</v>
      </c>
      <c r="M79" s="5" t="str">
        <f t="shared" si="17"/>
        <v>学士</v>
      </c>
    </row>
    <row r="80" spans="1:13" s="1" customFormat="1" ht="36" customHeight="1">
      <c r="A80" s="5" t="s">
        <v>13</v>
      </c>
      <c r="B80" s="5" t="str">
        <f t="shared" si="19"/>
        <v>YZ2024005</v>
      </c>
      <c r="C80" s="6" t="s">
        <v>19</v>
      </c>
      <c r="D80" s="5" t="s">
        <v>15</v>
      </c>
      <c r="E80" s="5" t="str">
        <f>"姚娥"</f>
        <v>姚娥</v>
      </c>
      <c r="F80" s="5" t="str">
        <f>"女"</f>
        <v>女</v>
      </c>
      <c r="G80" s="5" t="str">
        <f>"侗族"</f>
        <v>侗族</v>
      </c>
      <c r="H80" s="5" t="str">
        <f>"1995-12-03"</f>
        <v>1995-12-03</v>
      </c>
      <c r="I80" s="5" t="str">
        <f>"群众"</f>
        <v>群众</v>
      </c>
      <c r="J80" s="5" t="str">
        <f>"湖北民族大学"</f>
        <v>湖北民族大学</v>
      </c>
      <c r="K80" s="5" t="str">
        <f>"化学"</f>
        <v>化学</v>
      </c>
      <c r="L80" s="5" t="str">
        <f t="shared" si="16"/>
        <v>本科</v>
      </c>
      <c r="M80" s="5" t="str">
        <f t="shared" si="17"/>
        <v>学士</v>
      </c>
    </row>
    <row r="81" spans="1:13" s="1" customFormat="1" ht="36" customHeight="1">
      <c r="A81" s="5" t="s">
        <v>13</v>
      </c>
      <c r="B81" s="5" t="str">
        <f t="shared" si="19"/>
        <v>YZ2024005</v>
      </c>
      <c r="C81" s="6" t="s">
        <v>19</v>
      </c>
      <c r="D81" s="5" t="s">
        <v>15</v>
      </c>
      <c r="E81" s="5" t="str">
        <f>"李二庆"</f>
        <v>李二庆</v>
      </c>
      <c r="F81" s="5" t="str">
        <f>"女"</f>
        <v>女</v>
      </c>
      <c r="G81" s="5" t="str">
        <f>"土家族"</f>
        <v>土家族</v>
      </c>
      <c r="H81" s="5" t="str">
        <f>"1997-11-08"</f>
        <v>1997-11-08</v>
      </c>
      <c r="I81" s="5" t="str">
        <f>"共青团员"</f>
        <v>共青团员</v>
      </c>
      <c r="J81" s="5" t="str">
        <f>"北方民族大学"</f>
        <v>北方民族大学</v>
      </c>
      <c r="K81" s="5" t="str">
        <f>"化学工程与工艺"</f>
        <v>化学工程与工艺</v>
      </c>
      <c r="L81" s="5" t="str">
        <f t="shared" si="16"/>
        <v>本科</v>
      </c>
      <c r="M81" s="5" t="str">
        <f t="shared" si="17"/>
        <v>学士</v>
      </c>
    </row>
    <row r="82" spans="1:13" s="1" customFormat="1" ht="36" customHeight="1">
      <c r="A82" s="5" t="s">
        <v>13</v>
      </c>
      <c r="B82" s="5" t="str">
        <f t="shared" si="19"/>
        <v>YZ2024005</v>
      </c>
      <c r="C82" s="6" t="s">
        <v>19</v>
      </c>
      <c r="D82" s="5" t="s">
        <v>15</v>
      </c>
      <c r="E82" s="5" t="str">
        <f>"唐泠玲"</f>
        <v>唐泠玲</v>
      </c>
      <c r="F82" s="5" t="str">
        <f>"女"</f>
        <v>女</v>
      </c>
      <c r="G82" s="5" t="str">
        <f>"苗族"</f>
        <v>苗族</v>
      </c>
      <c r="H82" s="5" t="str">
        <f>"2000-05-17"</f>
        <v>2000-05-17</v>
      </c>
      <c r="I82" s="5" t="str">
        <f>"共青团员"</f>
        <v>共青团员</v>
      </c>
      <c r="J82" s="5" t="str">
        <f>"湖北民族大学"</f>
        <v>湖北民族大学</v>
      </c>
      <c r="K82" s="5" t="str">
        <f>"化学"</f>
        <v>化学</v>
      </c>
      <c r="L82" s="5" t="str">
        <f t="shared" si="16"/>
        <v>本科</v>
      </c>
      <c r="M82" s="5" t="str">
        <f t="shared" si="17"/>
        <v>学士</v>
      </c>
    </row>
    <row r="83" spans="1:13" s="1" customFormat="1" ht="36" customHeight="1">
      <c r="A83" s="5" t="s">
        <v>13</v>
      </c>
      <c r="B83" s="5" t="str">
        <f t="shared" si="19"/>
        <v>YZ2024005</v>
      </c>
      <c r="C83" s="6" t="s">
        <v>19</v>
      </c>
      <c r="D83" s="5" t="s">
        <v>15</v>
      </c>
      <c r="E83" s="5" t="str">
        <f>"王利皿"</f>
        <v>王利皿</v>
      </c>
      <c r="F83" s="5" t="str">
        <f>"男"</f>
        <v>男</v>
      </c>
      <c r="G83" s="5" t="str">
        <f>"土家族"</f>
        <v>土家族</v>
      </c>
      <c r="H83" s="5" t="str">
        <f>"1998-01-28"</f>
        <v>1998-01-28</v>
      </c>
      <c r="I83" s="5" t="str">
        <f>"共青团员"</f>
        <v>共青团员</v>
      </c>
      <c r="J83" s="5" t="str">
        <f>"长江大学工程技术学院"</f>
        <v>长江大学工程技术学院</v>
      </c>
      <c r="K83" s="5" t="str">
        <f>"应用化学"</f>
        <v>应用化学</v>
      </c>
      <c r="L83" s="5" t="str">
        <f t="shared" si="16"/>
        <v>本科</v>
      </c>
      <c r="M83" s="5" t="str">
        <f t="shared" si="17"/>
        <v>学士</v>
      </c>
    </row>
    <row r="84" spans="1:13" s="1" customFormat="1" ht="36" customHeight="1">
      <c r="A84" s="5" t="s">
        <v>13</v>
      </c>
      <c r="B84" s="5" t="str">
        <f t="shared" si="19"/>
        <v>YZ2024005</v>
      </c>
      <c r="C84" s="6" t="s">
        <v>19</v>
      </c>
      <c r="D84" s="5" t="s">
        <v>15</v>
      </c>
      <c r="E84" s="5" t="str">
        <f>"谭曾勇"</f>
        <v>谭曾勇</v>
      </c>
      <c r="F84" s="5" t="str">
        <f>"男"</f>
        <v>男</v>
      </c>
      <c r="G84" s="5" t="str">
        <f>"汉族"</f>
        <v>汉族</v>
      </c>
      <c r="H84" s="5" t="str">
        <f>"1998-02-12"</f>
        <v>1998-02-12</v>
      </c>
      <c r="I84" s="5" t="str">
        <f>"中共党员"</f>
        <v>中共党员</v>
      </c>
      <c r="J84" s="5" t="str">
        <f>"湖北民族大学"</f>
        <v>湖北民族大学</v>
      </c>
      <c r="K84" s="5" t="str">
        <f>"化学"</f>
        <v>化学</v>
      </c>
      <c r="L84" s="5" t="str">
        <f t="shared" si="16"/>
        <v>本科</v>
      </c>
      <c r="M84" s="5" t="str">
        <f t="shared" si="17"/>
        <v>学士</v>
      </c>
    </row>
    <row r="85" spans="1:13" s="1" customFormat="1" ht="36" customHeight="1">
      <c r="A85" s="5" t="s">
        <v>13</v>
      </c>
      <c r="B85" s="5" t="str">
        <f t="shared" si="19"/>
        <v>YZ2024005</v>
      </c>
      <c r="C85" s="6" t="s">
        <v>19</v>
      </c>
      <c r="D85" s="5" t="s">
        <v>15</v>
      </c>
      <c r="E85" s="5" t="str">
        <f>"谭林"</f>
        <v>谭林</v>
      </c>
      <c r="F85" s="5" t="str">
        <f>"男"</f>
        <v>男</v>
      </c>
      <c r="G85" s="5" t="str">
        <f>"土家族"</f>
        <v>土家族</v>
      </c>
      <c r="H85" s="5" t="str">
        <f>"1995-06-20"</f>
        <v>1995-06-20</v>
      </c>
      <c r="I85" s="5" t="str">
        <f>"群众"</f>
        <v>群众</v>
      </c>
      <c r="J85" s="5" t="str">
        <f>"湖北民族大学科技学院"</f>
        <v>湖北民族大学科技学院</v>
      </c>
      <c r="K85" s="5" t="str">
        <f>"制药工程"</f>
        <v>制药工程</v>
      </c>
      <c r="L85" s="5" t="str">
        <f t="shared" si="16"/>
        <v>本科</v>
      </c>
      <c r="M85" s="5" t="str">
        <f t="shared" si="17"/>
        <v>学士</v>
      </c>
    </row>
    <row r="86" spans="1:13" s="1" customFormat="1" ht="36" customHeight="1">
      <c r="A86" s="5" t="s">
        <v>13</v>
      </c>
      <c r="B86" s="5" t="str">
        <f t="shared" si="19"/>
        <v>YZ2024005</v>
      </c>
      <c r="C86" s="6" t="s">
        <v>19</v>
      </c>
      <c r="D86" s="5" t="s">
        <v>15</v>
      </c>
      <c r="E86" s="5" t="str">
        <f>"廖旭"</f>
        <v>廖旭</v>
      </c>
      <c r="F86" s="5" t="str">
        <f>"女"</f>
        <v>女</v>
      </c>
      <c r="G86" s="5" t="str">
        <f>"土家族"</f>
        <v>土家族</v>
      </c>
      <c r="H86" s="5" t="str">
        <f>"1999-12-22"</f>
        <v>1999-12-22</v>
      </c>
      <c r="I86" s="5" t="str">
        <f>"共青团员"</f>
        <v>共青团员</v>
      </c>
      <c r="J86" s="5" t="str">
        <f>"黄冈师范学院"</f>
        <v>黄冈师范学院</v>
      </c>
      <c r="K86" s="5" t="str">
        <f>"化学"</f>
        <v>化学</v>
      </c>
      <c r="L86" s="5" t="str">
        <f t="shared" si="16"/>
        <v>本科</v>
      </c>
      <c r="M86" s="5" t="str">
        <f t="shared" si="17"/>
        <v>学士</v>
      </c>
    </row>
    <row r="87" spans="1:13" s="1" customFormat="1" ht="36" customHeight="1">
      <c r="A87" s="5" t="s">
        <v>13</v>
      </c>
      <c r="B87" s="5" t="str">
        <f t="shared" si="19"/>
        <v>YZ2024005</v>
      </c>
      <c r="C87" s="6" t="s">
        <v>19</v>
      </c>
      <c r="D87" s="5" t="s">
        <v>15</v>
      </c>
      <c r="E87" s="5" t="str">
        <f>"杨光钱"</f>
        <v>杨光钱</v>
      </c>
      <c r="F87" s="5" t="str">
        <f>"男"</f>
        <v>男</v>
      </c>
      <c r="G87" s="5" t="str">
        <f>"苗族"</f>
        <v>苗族</v>
      </c>
      <c r="H87" s="5" t="str">
        <f>"1998-09-03"</f>
        <v>1998-09-03</v>
      </c>
      <c r="I87" s="5" t="str">
        <f>"共青团员"</f>
        <v>共青团员</v>
      </c>
      <c r="J87" s="5" t="str">
        <f>"中南民族大学"</f>
        <v>中南民族大学</v>
      </c>
      <c r="K87" s="5" t="str">
        <f>"应用化学"</f>
        <v>应用化学</v>
      </c>
      <c r="L87" s="5" t="str">
        <f t="shared" si="16"/>
        <v>本科</v>
      </c>
      <c r="M87" s="5" t="str">
        <f t="shared" si="17"/>
        <v>学士</v>
      </c>
    </row>
    <row r="88" spans="1:13" s="1" customFormat="1" ht="36" customHeight="1">
      <c r="A88" s="5" t="s">
        <v>13</v>
      </c>
      <c r="B88" s="5" t="str">
        <f t="shared" si="19"/>
        <v>YZ2024005</v>
      </c>
      <c r="C88" s="6" t="s">
        <v>19</v>
      </c>
      <c r="D88" s="5" t="s">
        <v>15</v>
      </c>
      <c r="E88" s="5" t="str">
        <f>"包珊"</f>
        <v>包珊</v>
      </c>
      <c r="F88" s="5" t="str">
        <f>"女"</f>
        <v>女</v>
      </c>
      <c r="G88" s="5" t="str">
        <f>"土家族"</f>
        <v>土家族</v>
      </c>
      <c r="H88" s="5" t="str">
        <f>"1998-12-09"</f>
        <v>1998-12-09</v>
      </c>
      <c r="I88" s="5" t="str">
        <f>"共青团员"</f>
        <v>共青团员</v>
      </c>
      <c r="J88" s="5" t="str">
        <f>"湖北师范大学"</f>
        <v>湖北师范大学</v>
      </c>
      <c r="K88" s="5" t="str">
        <f>"应用化学"</f>
        <v>应用化学</v>
      </c>
      <c r="L88" s="5" t="str">
        <f t="shared" si="16"/>
        <v>本科</v>
      </c>
      <c r="M88" s="5" t="str">
        <f t="shared" si="17"/>
        <v>学士</v>
      </c>
    </row>
    <row r="89" spans="1:13" s="1" customFormat="1" ht="36" customHeight="1">
      <c r="A89" s="5" t="s">
        <v>13</v>
      </c>
      <c r="B89" s="5" t="str">
        <f t="shared" si="19"/>
        <v>YZ2024005</v>
      </c>
      <c r="C89" s="6" t="s">
        <v>19</v>
      </c>
      <c r="D89" s="5" t="s">
        <v>15</v>
      </c>
      <c r="E89" s="5" t="str">
        <f>"蒋科"</f>
        <v>蒋科</v>
      </c>
      <c r="F89" s="5" t="str">
        <f>"男"</f>
        <v>男</v>
      </c>
      <c r="G89" s="5" t="str">
        <f>"土家族"</f>
        <v>土家族</v>
      </c>
      <c r="H89" s="5" t="str">
        <f>"2000-06-05"</f>
        <v>2000-06-05</v>
      </c>
      <c r="I89" s="5" t="str">
        <f>"共青团员"</f>
        <v>共青团员</v>
      </c>
      <c r="J89" s="5" t="str">
        <f>"湖北民族大学"</f>
        <v>湖北民族大学</v>
      </c>
      <c r="K89" s="5" t="str">
        <f>"化学"</f>
        <v>化学</v>
      </c>
      <c r="L89" s="5" t="str">
        <f t="shared" si="16"/>
        <v>本科</v>
      </c>
      <c r="M89" s="5" t="str">
        <f t="shared" si="17"/>
        <v>学士</v>
      </c>
    </row>
    <row r="90" spans="1:13" s="1" customFormat="1" ht="36" customHeight="1">
      <c r="A90" s="5" t="s">
        <v>13</v>
      </c>
      <c r="B90" s="5" t="str">
        <f t="shared" si="19"/>
        <v>YZ2024005</v>
      </c>
      <c r="C90" s="6" t="s">
        <v>19</v>
      </c>
      <c r="D90" s="5" t="s">
        <v>15</v>
      </c>
      <c r="E90" s="5" t="str">
        <f>"彭蒜"</f>
        <v>彭蒜</v>
      </c>
      <c r="F90" s="5" t="str">
        <f>"女"</f>
        <v>女</v>
      </c>
      <c r="G90" s="5" t="str">
        <f>"汉族"</f>
        <v>汉族</v>
      </c>
      <c r="H90" s="5" t="str">
        <f>"1995-10-02"</f>
        <v>1995-10-02</v>
      </c>
      <c r="I90" s="5" t="str">
        <f>"群众"</f>
        <v>群众</v>
      </c>
      <c r="J90" s="5" t="str">
        <f>"长江师范学院"</f>
        <v>长江师范学院</v>
      </c>
      <c r="K90" s="5" t="str">
        <f>"化学工程与工艺"</f>
        <v>化学工程与工艺</v>
      </c>
      <c r="L90" s="5" t="str">
        <f t="shared" si="16"/>
        <v>本科</v>
      </c>
      <c r="M90" s="5" t="str">
        <f t="shared" si="17"/>
        <v>学士</v>
      </c>
    </row>
    <row r="91" spans="1:13" s="1" customFormat="1" ht="36" customHeight="1">
      <c r="A91" s="5" t="s">
        <v>13</v>
      </c>
      <c r="B91" s="5" t="str">
        <f t="shared" si="19"/>
        <v>YZ2024005</v>
      </c>
      <c r="C91" s="6" t="s">
        <v>19</v>
      </c>
      <c r="D91" s="5" t="s">
        <v>15</v>
      </c>
      <c r="E91" s="5" t="str">
        <f>"赵尉池"</f>
        <v>赵尉池</v>
      </c>
      <c r="F91" s="5" t="str">
        <f>"女"</f>
        <v>女</v>
      </c>
      <c r="G91" s="5" t="str">
        <f>"汉族"</f>
        <v>汉族</v>
      </c>
      <c r="H91" s="5" t="str">
        <f>"1997-04-17"</f>
        <v>1997-04-17</v>
      </c>
      <c r="I91" s="5" t="str">
        <f>"共青团员"</f>
        <v>共青团员</v>
      </c>
      <c r="J91" s="5" t="str">
        <f>"长江大学"</f>
        <v>长江大学</v>
      </c>
      <c r="K91" s="5" t="str">
        <f>"应用化学"</f>
        <v>应用化学</v>
      </c>
      <c r="L91" s="5" t="str">
        <f t="shared" si="16"/>
        <v>本科</v>
      </c>
      <c r="M91" s="5" t="str">
        <f t="shared" si="17"/>
        <v>学士</v>
      </c>
    </row>
    <row r="92" spans="1:13" s="1" customFormat="1" ht="36" customHeight="1">
      <c r="A92" s="5" t="s">
        <v>13</v>
      </c>
      <c r="B92" s="5" t="str">
        <f t="shared" si="19"/>
        <v>YZ2024005</v>
      </c>
      <c r="C92" s="6" t="s">
        <v>19</v>
      </c>
      <c r="D92" s="5" t="s">
        <v>15</v>
      </c>
      <c r="E92" s="5" t="str">
        <f>"覃浩"</f>
        <v>覃浩</v>
      </c>
      <c r="F92" s="5" t="str">
        <f>"男"</f>
        <v>男</v>
      </c>
      <c r="G92" s="5" t="str">
        <f>"土家族"</f>
        <v>土家族</v>
      </c>
      <c r="H92" s="5" t="str">
        <f>"1995-04-03"</f>
        <v>1995-04-03</v>
      </c>
      <c r="I92" s="5" t="str">
        <f>"群众"</f>
        <v>群众</v>
      </c>
      <c r="J92" s="5" t="str">
        <f>"江汉大学"</f>
        <v>江汉大学</v>
      </c>
      <c r="K92" s="5" t="str">
        <f>"化学"</f>
        <v>化学</v>
      </c>
      <c r="L92" s="5" t="str">
        <f t="shared" si="16"/>
        <v>本科</v>
      </c>
      <c r="M92" s="5" t="str">
        <f t="shared" si="17"/>
        <v>学士</v>
      </c>
    </row>
    <row r="93" spans="1:13" s="1" customFormat="1" ht="36" customHeight="1">
      <c r="A93" s="5" t="s">
        <v>13</v>
      </c>
      <c r="B93" s="5" t="str">
        <f t="shared" si="19"/>
        <v>YZ2024005</v>
      </c>
      <c r="C93" s="6" t="s">
        <v>19</v>
      </c>
      <c r="D93" s="5" t="s">
        <v>15</v>
      </c>
      <c r="E93" s="5" t="str">
        <f>"王嘉彤"</f>
        <v>王嘉彤</v>
      </c>
      <c r="F93" s="5" t="str">
        <f>"女"</f>
        <v>女</v>
      </c>
      <c r="G93" s="5" t="str">
        <f>"汉族"</f>
        <v>汉族</v>
      </c>
      <c r="H93" s="5" t="str">
        <f>"2002-02-02"</f>
        <v>2002-02-02</v>
      </c>
      <c r="I93" s="5" t="str">
        <f>"共青团员"</f>
        <v>共青团员</v>
      </c>
      <c r="J93" s="5" t="str">
        <f>"湖北科技学院"</f>
        <v>湖北科技学院</v>
      </c>
      <c r="K93" s="5" t="str">
        <f>"化学"</f>
        <v>化学</v>
      </c>
      <c r="L93" s="5" t="str">
        <f t="shared" si="16"/>
        <v>本科</v>
      </c>
      <c r="M93" s="5" t="str">
        <f>"学士"</f>
        <v>学士</v>
      </c>
    </row>
    <row r="94" spans="1:13" s="1" customFormat="1" ht="36" customHeight="1">
      <c r="A94" s="5" t="s">
        <v>13</v>
      </c>
      <c r="B94" s="5" t="str">
        <f t="shared" si="19"/>
        <v>YZ2024005</v>
      </c>
      <c r="C94" s="6" t="s">
        <v>19</v>
      </c>
      <c r="D94" s="5" t="s">
        <v>15</v>
      </c>
      <c r="E94" s="5" t="str">
        <f>"覃才"</f>
        <v>覃才</v>
      </c>
      <c r="F94" s="5" t="str">
        <f>"男"</f>
        <v>男</v>
      </c>
      <c r="G94" s="5" t="str">
        <f>"土家族"</f>
        <v>土家族</v>
      </c>
      <c r="H94" s="5" t="str">
        <f>"2001-04-02"</f>
        <v>2001-04-02</v>
      </c>
      <c r="I94" s="5" t="str">
        <f>"共青团员"</f>
        <v>共青团员</v>
      </c>
      <c r="J94" s="5" t="str">
        <f>"武汉科技大学"</f>
        <v>武汉科技大学</v>
      </c>
      <c r="K94" s="5" t="str">
        <f>"化学工程与工艺"</f>
        <v>化学工程与工艺</v>
      </c>
      <c r="L94" s="5" t="str">
        <f t="shared" si="16"/>
        <v>本科</v>
      </c>
      <c r="M94" s="5" t="str">
        <f>"学士"</f>
        <v>学士</v>
      </c>
    </row>
    <row r="95" spans="1:13" s="1" customFormat="1" ht="36" customHeight="1">
      <c r="A95" s="5" t="s">
        <v>13</v>
      </c>
      <c r="B95" s="5" t="str">
        <f t="shared" si="19"/>
        <v>YZ2024005</v>
      </c>
      <c r="C95" s="6" t="s">
        <v>19</v>
      </c>
      <c r="D95" s="5" t="s">
        <v>15</v>
      </c>
      <c r="E95" s="5" t="str">
        <f>"徐佳"</f>
        <v>徐佳</v>
      </c>
      <c r="F95" s="5" t="str">
        <f>"女"</f>
        <v>女</v>
      </c>
      <c r="G95" s="5" t="str">
        <f>"土家族"</f>
        <v>土家族</v>
      </c>
      <c r="H95" s="5" t="str">
        <f>"2001-06-27"</f>
        <v>2001-06-27</v>
      </c>
      <c r="I95" s="5" t="str">
        <f>"中共预备党员"</f>
        <v>中共预备党员</v>
      </c>
      <c r="J95" s="5" t="str">
        <f>"江苏师范大学"</f>
        <v>江苏师范大学</v>
      </c>
      <c r="K95" s="5" t="str">
        <f>"化学（师范）"</f>
        <v>化学（师范）</v>
      </c>
      <c r="L95" s="5" t="str">
        <f t="shared" si="16"/>
        <v>本科</v>
      </c>
      <c r="M95" s="5" t="str">
        <f>"无"</f>
        <v>无</v>
      </c>
    </row>
    <row r="96" spans="1:13" s="1" customFormat="1" ht="36" customHeight="1">
      <c r="A96" s="5" t="s">
        <v>13</v>
      </c>
      <c r="B96" s="5" t="str">
        <f t="shared" si="19"/>
        <v>YZ2024005</v>
      </c>
      <c r="C96" s="6" t="s">
        <v>19</v>
      </c>
      <c r="D96" s="5" t="s">
        <v>15</v>
      </c>
      <c r="E96" s="5" t="str">
        <f>"周倩"</f>
        <v>周倩</v>
      </c>
      <c r="F96" s="5" t="str">
        <f>"女"</f>
        <v>女</v>
      </c>
      <c r="G96" s="5" t="str">
        <f>"汉族"</f>
        <v>汉族</v>
      </c>
      <c r="H96" s="5" t="str">
        <f>"2002-03-15"</f>
        <v>2002-03-15</v>
      </c>
      <c r="I96" s="5" t="str">
        <f>"共青团员"</f>
        <v>共青团员</v>
      </c>
      <c r="J96" s="5" t="str">
        <f>"重庆三峡学院"</f>
        <v>重庆三峡学院</v>
      </c>
      <c r="K96" s="5" t="str">
        <f>"化学（师范类）"</f>
        <v>化学（师范类）</v>
      </c>
      <c r="L96" s="5" t="str">
        <f t="shared" si="16"/>
        <v>本科</v>
      </c>
      <c r="M96" s="5" t="str">
        <f t="shared" ref="M96:M103" si="21">"学士"</f>
        <v>学士</v>
      </c>
    </row>
    <row r="97" spans="1:13" s="1" customFormat="1" ht="36" customHeight="1">
      <c r="A97" s="5" t="s">
        <v>13</v>
      </c>
      <c r="B97" s="5" t="str">
        <f t="shared" si="19"/>
        <v>YZ2024005</v>
      </c>
      <c r="C97" s="6" t="s">
        <v>19</v>
      </c>
      <c r="D97" s="5" t="s">
        <v>15</v>
      </c>
      <c r="E97" s="5" t="str">
        <f>"胡龙江"</f>
        <v>胡龙江</v>
      </c>
      <c r="F97" s="5" t="str">
        <f>"男"</f>
        <v>男</v>
      </c>
      <c r="G97" s="5" t="str">
        <f>"土家族"</f>
        <v>土家族</v>
      </c>
      <c r="H97" s="5" t="str">
        <f>"1998-12-02"</f>
        <v>1998-12-02</v>
      </c>
      <c r="I97" s="5" t="str">
        <f>"共青团员"</f>
        <v>共青团员</v>
      </c>
      <c r="J97" s="5" t="str">
        <f>"黄冈师范学院"</f>
        <v>黄冈师范学院</v>
      </c>
      <c r="K97" s="5" t="str">
        <f>"化学"</f>
        <v>化学</v>
      </c>
      <c r="L97" s="5" t="str">
        <f t="shared" si="16"/>
        <v>本科</v>
      </c>
      <c r="M97" s="5" t="str">
        <f t="shared" si="21"/>
        <v>学士</v>
      </c>
    </row>
    <row r="98" spans="1:13" s="1" customFormat="1" ht="36" customHeight="1">
      <c r="A98" s="5" t="s">
        <v>13</v>
      </c>
      <c r="B98" s="5" t="str">
        <f t="shared" si="19"/>
        <v>YZ2024005</v>
      </c>
      <c r="C98" s="6" t="s">
        <v>19</v>
      </c>
      <c r="D98" s="5" t="s">
        <v>15</v>
      </c>
      <c r="E98" s="5" t="str">
        <f>"梁洪瑜"</f>
        <v>梁洪瑜</v>
      </c>
      <c r="F98" s="5" t="str">
        <f>"男"</f>
        <v>男</v>
      </c>
      <c r="G98" s="5" t="str">
        <f>"侗族"</f>
        <v>侗族</v>
      </c>
      <c r="H98" s="5" t="str">
        <f>"2000-05-20"</f>
        <v>2000-05-20</v>
      </c>
      <c r="I98" s="5" t="str">
        <f>"共青团员"</f>
        <v>共青团员</v>
      </c>
      <c r="J98" s="5" t="str">
        <f>"衡阳师范学院"</f>
        <v>衡阳师范学院</v>
      </c>
      <c r="K98" s="5" t="str">
        <f>"化学生物学"</f>
        <v>化学生物学</v>
      </c>
      <c r="L98" s="5" t="str">
        <f t="shared" si="16"/>
        <v>本科</v>
      </c>
      <c r="M98" s="5" t="str">
        <f t="shared" si="21"/>
        <v>学士</v>
      </c>
    </row>
    <row r="99" spans="1:13" s="1" customFormat="1" ht="36" customHeight="1">
      <c r="A99" s="5" t="s">
        <v>13</v>
      </c>
      <c r="B99" s="5" t="str">
        <f t="shared" si="19"/>
        <v>YZ2024005</v>
      </c>
      <c r="C99" s="6" t="s">
        <v>19</v>
      </c>
      <c r="D99" s="5" t="s">
        <v>15</v>
      </c>
      <c r="E99" s="5" t="str">
        <f>"李永青"</f>
        <v>李永青</v>
      </c>
      <c r="F99" s="5" t="str">
        <f t="shared" ref="F99:F104" si="22">"女"</f>
        <v>女</v>
      </c>
      <c r="G99" s="5" t="str">
        <f>"汉族"</f>
        <v>汉族</v>
      </c>
      <c r="H99" s="5" t="str">
        <f>"1999-02-07"</f>
        <v>1999-02-07</v>
      </c>
      <c r="I99" s="5" t="str">
        <f>"群众"</f>
        <v>群众</v>
      </c>
      <c r="J99" s="5" t="str">
        <f>"淮南师范学院"</f>
        <v>淮南师范学院</v>
      </c>
      <c r="K99" s="5" t="str">
        <f>"化学"</f>
        <v>化学</v>
      </c>
      <c r="L99" s="5" t="str">
        <f>"本科"</f>
        <v>本科</v>
      </c>
      <c r="M99" s="5" t="str">
        <f t="shared" si="21"/>
        <v>学士</v>
      </c>
    </row>
    <row r="100" spans="1:13" s="1" customFormat="1" ht="36" customHeight="1">
      <c r="A100" s="5" t="s">
        <v>13</v>
      </c>
      <c r="B100" s="5" t="str">
        <f t="shared" si="19"/>
        <v>YZ2024005</v>
      </c>
      <c r="C100" s="6" t="s">
        <v>19</v>
      </c>
      <c r="D100" s="5" t="s">
        <v>15</v>
      </c>
      <c r="E100" s="5" t="str">
        <f>"向君英"</f>
        <v>向君英</v>
      </c>
      <c r="F100" s="5" t="str">
        <f t="shared" si="22"/>
        <v>女</v>
      </c>
      <c r="G100" s="5" t="str">
        <f>"汉族"</f>
        <v>汉族</v>
      </c>
      <c r="H100" s="5" t="str">
        <f>"1999-11-27"</f>
        <v>1999-11-27</v>
      </c>
      <c r="I100" s="5" t="str">
        <f>"共青团员"</f>
        <v>共青团员</v>
      </c>
      <c r="J100" s="5" t="str">
        <f>"黄冈师范学院"</f>
        <v>黄冈师范学院</v>
      </c>
      <c r="K100" s="5" t="str">
        <f>"化学"</f>
        <v>化学</v>
      </c>
      <c r="L100" s="5" t="str">
        <f>"本科"</f>
        <v>本科</v>
      </c>
      <c r="M100" s="5" t="str">
        <f t="shared" si="21"/>
        <v>学士</v>
      </c>
    </row>
    <row r="101" spans="1:13" s="1" customFormat="1" ht="36" customHeight="1">
      <c r="A101" s="5" t="s">
        <v>13</v>
      </c>
      <c r="B101" s="5" t="str">
        <f t="shared" si="19"/>
        <v>YZ2024005</v>
      </c>
      <c r="C101" s="6" t="s">
        <v>19</v>
      </c>
      <c r="D101" s="5" t="s">
        <v>15</v>
      </c>
      <c r="E101" s="5" t="str">
        <f>"柳亚华"</f>
        <v>柳亚华</v>
      </c>
      <c r="F101" s="5" t="str">
        <f t="shared" si="22"/>
        <v>女</v>
      </c>
      <c r="G101" s="5" t="str">
        <f>"土家族"</f>
        <v>土家族</v>
      </c>
      <c r="H101" s="5" t="str">
        <f>"2000-04-13"</f>
        <v>2000-04-13</v>
      </c>
      <c r="I101" s="5" t="str">
        <f>"共青团员"</f>
        <v>共青团员</v>
      </c>
      <c r="J101" s="5" t="str">
        <f>"湖北第二师范学院"</f>
        <v>湖北第二师范学院</v>
      </c>
      <c r="K101" s="5" t="str">
        <f>"化学"</f>
        <v>化学</v>
      </c>
      <c r="L101" s="5" t="str">
        <f>"本科"</f>
        <v>本科</v>
      </c>
      <c r="M101" s="5" t="str">
        <f t="shared" si="21"/>
        <v>学士</v>
      </c>
    </row>
    <row r="102" spans="1:13" s="1" customFormat="1" ht="36" customHeight="1">
      <c r="A102" s="5" t="s">
        <v>13</v>
      </c>
      <c r="B102" s="5" t="str">
        <f t="shared" si="19"/>
        <v>YZ2024005</v>
      </c>
      <c r="C102" s="6" t="s">
        <v>19</v>
      </c>
      <c r="D102" s="5" t="s">
        <v>15</v>
      </c>
      <c r="E102" s="5" t="str">
        <f>"黄丽群"</f>
        <v>黄丽群</v>
      </c>
      <c r="F102" s="5" t="str">
        <f t="shared" si="22"/>
        <v>女</v>
      </c>
      <c r="G102" s="5" t="str">
        <f>"土家族"</f>
        <v>土家族</v>
      </c>
      <c r="H102" s="5" t="str">
        <f>"2004-02-26"</f>
        <v>2004-02-26</v>
      </c>
      <c r="I102" s="5" t="str">
        <f>"共青团员"</f>
        <v>共青团员</v>
      </c>
      <c r="J102" s="5" t="str">
        <f>"重庆三峡学院"</f>
        <v>重庆三峡学院</v>
      </c>
      <c r="K102" s="5" t="str">
        <f>"化学（师范类）"</f>
        <v>化学（师范类）</v>
      </c>
      <c r="L102" s="5" t="str">
        <f>"本科"</f>
        <v>本科</v>
      </c>
      <c r="M102" s="5" t="str">
        <f t="shared" si="21"/>
        <v>学士</v>
      </c>
    </row>
    <row r="103" spans="1:13" s="1" customFormat="1" ht="36" customHeight="1">
      <c r="A103" s="5" t="s">
        <v>13</v>
      </c>
      <c r="B103" s="5" t="str">
        <f t="shared" si="19"/>
        <v>YZ2024005</v>
      </c>
      <c r="C103" s="6" t="s">
        <v>19</v>
      </c>
      <c r="D103" s="5" t="s">
        <v>15</v>
      </c>
      <c r="E103" s="5" t="str">
        <f>"余美美"</f>
        <v>余美美</v>
      </c>
      <c r="F103" s="5" t="str">
        <f t="shared" si="22"/>
        <v>女</v>
      </c>
      <c r="G103" s="5" t="str">
        <f>"汉族"</f>
        <v>汉族</v>
      </c>
      <c r="H103" s="5" t="str">
        <f>"2000-01-09"</f>
        <v>2000-01-09</v>
      </c>
      <c r="I103" s="5" t="str">
        <f>"中共预备党员"</f>
        <v>中共预备党员</v>
      </c>
      <c r="J103" s="5" t="str">
        <f>"重庆三峡学院"</f>
        <v>重庆三峡学院</v>
      </c>
      <c r="K103" s="5" t="str">
        <f>"化学（师范类）"</f>
        <v>化学（师范类）</v>
      </c>
      <c r="L103" s="5" t="str">
        <f>"本科"</f>
        <v>本科</v>
      </c>
      <c r="M103" s="5" t="str">
        <f t="shared" si="21"/>
        <v>学士</v>
      </c>
    </row>
    <row r="104" spans="1:13" s="1" customFormat="1" ht="36" customHeight="1">
      <c r="A104" s="5" t="s">
        <v>20</v>
      </c>
      <c r="B104" s="5" t="str">
        <f t="shared" ref="B104:B119" si="23">"YZ2024006"</f>
        <v>YZ2024006</v>
      </c>
      <c r="C104" s="6" t="s">
        <v>21</v>
      </c>
      <c r="D104" s="5" t="s">
        <v>15</v>
      </c>
      <c r="E104" s="5" t="str">
        <f>"严柠"</f>
        <v>严柠</v>
      </c>
      <c r="F104" s="5" t="str">
        <f t="shared" si="22"/>
        <v>女</v>
      </c>
      <c r="G104" s="5" t="str">
        <f>"土家族"</f>
        <v>土家族</v>
      </c>
      <c r="H104" s="5" t="str">
        <f>"1999-11-24"</f>
        <v>1999-11-24</v>
      </c>
      <c r="I104" s="5" t="str">
        <f>"共青团员"</f>
        <v>共青团员</v>
      </c>
      <c r="J104" s="5" t="str">
        <f>"苏州大学"</f>
        <v>苏州大学</v>
      </c>
      <c r="K104" s="5" t="str">
        <f>"马克思主义理论"</f>
        <v>马克思主义理论</v>
      </c>
      <c r="L104" s="5" t="str">
        <f t="shared" ref="L104:L137" si="24">"硕士研究生"</f>
        <v>硕士研究生</v>
      </c>
      <c r="M104" s="5" t="str">
        <f t="shared" ref="M104:M125" si="25">"硕士"</f>
        <v>硕士</v>
      </c>
    </row>
    <row r="105" spans="1:13" s="1" customFormat="1" ht="36" customHeight="1">
      <c r="A105" s="5" t="s">
        <v>20</v>
      </c>
      <c r="B105" s="5" t="str">
        <f t="shared" si="23"/>
        <v>YZ2024006</v>
      </c>
      <c r="C105" s="6" t="s">
        <v>21</v>
      </c>
      <c r="D105" s="5" t="s">
        <v>15</v>
      </c>
      <c r="E105" s="5" t="str">
        <f>"肖克福"</f>
        <v>肖克福</v>
      </c>
      <c r="F105" s="5" t="str">
        <f>"男"</f>
        <v>男</v>
      </c>
      <c r="G105" s="5" t="str">
        <f>"汉族"</f>
        <v>汉族</v>
      </c>
      <c r="H105" s="5" t="str">
        <f>"1997-07-03"</f>
        <v>1997-07-03</v>
      </c>
      <c r="I105" s="5" t="str">
        <f>"共青团员"</f>
        <v>共青团员</v>
      </c>
      <c r="J105" s="5" t="str">
        <f>"吉林农业大学"</f>
        <v>吉林农业大学</v>
      </c>
      <c r="K105" s="5" t="str">
        <f>"马克思主义中国化研究"</f>
        <v>马克思主义中国化研究</v>
      </c>
      <c r="L105" s="5" t="str">
        <f t="shared" si="24"/>
        <v>硕士研究生</v>
      </c>
      <c r="M105" s="5" t="str">
        <f t="shared" si="25"/>
        <v>硕士</v>
      </c>
    </row>
    <row r="106" spans="1:13" s="1" customFormat="1" ht="36" customHeight="1">
      <c r="A106" s="5" t="s">
        <v>20</v>
      </c>
      <c r="B106" s="5" t="str">
        <f t="shared" si="23"/>
        <v>YZ2024006</v>
      </c>
      <c r="C106" s="6" t="s">
        <v>21</v>
      </c>
      <c r="D106" s="5" t="s">
        <v>15</v>
      </c>
      <c r="E106" s="5" t="str">
        <f>"赵营娜"</f>
        <v>赵营娜</v>
      </c>
      <c r="F106" s="5" t="str">
        <f t="shared" ref="F106:F121" si="26">"女"</f>
        <v>女</v>
      </c>
      <c r="G106" s="5" t="str">
        <f>"汉族"</f>
        <v>汉族</v>
      </c>
      <c r="H106" s="5" t="str">
        <f>"1993-02-19"</f>
        <v>1993-02-19</v>
      </c>
      <c r="I106" s="5" t="str">
        <f>"中共党员"</f>
        <v>中共党员</v>
      </c>
      <c r="J106" s="5" t="str">
        <f>"西安科技大学"</f>
        <v>西安科技大学</v>
      </c>
      <c r="K106" s="5" t="str">
        <f>"马克思主义理论"</f>
        <v>马克思主义理论</v>
      </c>
      <c r="L106" s="5" t="str">
        <f t="shared" si="24"/>
        <v>硕士研究生</v>
      </c>
      <c r="M106" s="5" t="str">
        <f t="shared" si="25"/>
        <v>硕士</v>
      </c>
    </row>
    <row r="107" spans="1:13" s="1" customFormat="1" ht="36" customHeight="1">
      <c r="A107" s="5" t="s">
        <v>20</v>
      </c>
      <c r="B107" s="5" t="str">
        <f t="shared" si="23"/>
        <v>YZ2024006</v>
      </c>
      <c r="C107" s="6" t="s">
        <v>21</v>
      </c>
      <c r="D107" s="5" t="s">
        <v>15</v>
      </c>
      <c r="E107" s="5" t="str">
        <f>"向菁菁"</f>
        <v>向菁菁</v>
      </c>
      <c r="F107" s="5" t="str">
        <f t="shared" si="26"/>
        <v>女</v>
      </c>
      <c r="G107" s="5" t="str">
        <f>"汉族"</f>
        <v>汉族</v>
      </c>
      <c r="H107" s="5" t="str">
        <f>"1996-09-11"</f>
        <v>1996-09-11</v>
      </c>
      <c r="I107" s="5" t="str">
        <f>"中共党员"</f>
        <v>中共党员</v>
      </c>
      <c r="J107" s="5" t="str">
        <f>"黄冈师范学院"</f>
        <v>黄冈师范学院</v>
      </c>
      <c r="K107" s="5" t="str">
        <f>"学科教学（思政）"</f>
        <v>学科教学（思政）</v>
      </c>
      <c r="L107" s="5" t="str">
        <f t="shared" si="24"/>
        <v>硕士研究生</v>
      </c>
      <c r="M107" s="5" t="str">
        <f t="shared" si="25"/>
        <v>硕士</v>
      </c>
    </row>
    <row r="108" spans="1:13" s="1" customFormat="1" ht="36" customHeight="1">
      <c r="A108" s="5" t="s">
        <v>20</v>
      </c>
      <c r="B108" s="5" t="str">
        <f t="shared" si="23"/>
        <v>YZ2024006</v>
      </c>
      <c r="C108" s="6" t="s">
        <v>21</v>
      </c>
      <c r="D108" s="5" t="s">
        <v>15</v>
      </c>
      <c r="E108" s="5" t="str">
        <f>"肖泠伶"</f>
        <v>肖泠伶</v>
      </c>
      <c r="F108" s="5" t="str">
        <f t="shared" si="26"/>
        <v>女</v>
      </c>
      <c r="G108" s="5" t="str">
        <f>"土家族"</f>
        <v>土家族</v>
      </c>
      <c r="H108" s="5" t="str">
        <f>"1997-04-20"</f>
        <v>1997-04-20</v>
      </c>
      <c r="I108" s="5" t="str">
        <f>"共青团员"</f>
        <v>共青团员</v>
      </c>
      <c r="J108" s="5" t="str">
        <f>"佛山科学技术学院"</f>
        <v>佛山科学技术学院</v>
      </c>
      <c r="K108" s="5" t="str">
        <f>"学科教学（思政）"</f>
        <v>学科教学（思政）</v>
      </c>
      <c r="L108" s="5" t="str">
        <f t="shared" si="24"/>
        <v>硕士研究生</v>
      </c>
      <c r="M108" s="5" t="str">
        <f t="shared" si="25"/>
        <v>硕士</v>
      </c>
    </row>
    <row r="109" spans="1:13" s="1" customFormat="1" ht="36" customHeight="1">
      <c r="A109" s="5" t="s">
        <v>20</v>
      </c>
      <c r="B109" s="5" t="str">
        <f t="shared" si="23"/>
        <v>YZ2024006</v>
      </c>
      <c r="C109" s="6" t="s">
        <v>21</v>
      </c>
      <c r="D109" s="5" t="s">
        <v>15</v>
      </c>
      <c r="E109" s="5" t="str">
        <f>"黄于涛"</f>
        <v>黄于涛</v>
      </c>
      <c r="F109" s="5" t="str">
        <f t="shared" si="26"/>
        <v>女</v>
      </c>
      <c r="G109" s="5" t="str">
        <f>"土家族"</f>
        <v>土家族</v>
      </c>
      <c r="H109" s="5" t="str">
        <f>"1998-06-26"</f>
        <v>1998-06-26</v>
      </c>
      <c r="I109" s="5" t="str">
        <f>"共青团员"</f>
        <v>共青团员</v>
      </c>
      <c r="J109" s="5" t="str">
        <f>"湖北大学"</f>
        <v>湖北大学</v>
      </c>
      <c r="K109" s="5" t="str">
        <f>"学科教学（思政）"</f>
        <v>学科教学（思政）</v>
      </c>
      <c r="L109" s="5" t="str">
        <f t="shared" si="24"/>
        <v>硕士研究生</v>
      </c>
      <c r="M109" s="5" t="str">
        <f t="shared" si="25"/>
        <v>硕士</v>
      </c>
    </row>
    <row r="110" spans="1:13" s="1" customFormat="1" ht="36" customHeight="1">
      <c r="A110" s="5" t="s">
        <v>20</v>
      </c>
      <c r="B110" s="5" t="str">
        <f t="shared" si="23"/>
        <v>YZ2024006</v>
      </c>
      <c r="C110" s="6" t="s">
        <v>21</v>
      </c>
      <c r="D110" s="5" t="s">
        <v>15</v>
      </c>
      <c r="E110" s="5" t="str">
        <f>"吴凤琼"</f>
        <v>吴凤琼</v>
      </c>
      <c r="F110" s="5" t="str">
        <f t="shared" si="26"/>
        <v>女</v>
      </c>
      <c r="G110" s="5" t="str">
        <f>"侗族"</f>
        <v>侗族</v>
      </c>
      <c r="H110" s="5" t="str">
        <f>"1996-12-12"</f>
        <v>1996-12-12</v>
      </c>
      <c r="I110" s="5" t="str">
        <f>"中共党员"</f>
        <v>中共党员</v>
      </c>
      <c r="J110" s="5" t="str">
        <f>"湖北大学"</f>
        <v>湖北大学</v>
      </c>
      <c r="K110" s="5" t="str">
        <f>"马克思主义理论"</f>
        <v>马克思主义理论</v>
      </c>
      <c r="L110" s="5" t="str">
        <f t="shared" si="24"/>
        <v>硕士研究生</v>
      </c>
      <c r="M110" s="5" t="str">
        <f t="shared" si="25"/>
        <v>硕士</v>
      </c>
    </row>
    <row r="111" spans="1:13" s="1" customFormat="1" ht="36" customHeight="1">
      <c r="A111" s="5" t="s">
        <v>20</v>
      </c>
      <c r="B111" s="5" t="str">
        <f t="shared" si="23"/>
        <v>YZ2024006</v>
      </c>
      <c r="C111" s="6" t="s">
        <v>21</v>
      </c>
      <c r="D111" s="5" t="s">
        <v>15</v>
      </c>
      <c r="E111" s="5" t="str">
        <f>"唐鑫"</f>
        <v>唐鑫</v>
      </c>
      <c r="F111" s="5" t="str">
        <f t="shared" si="26"/>
        <v>女</v>
      </c>
      <c r="G111" s="5" t="str">
        <f>"苗族"</f>
        <v>苗族</v>
      </c>
      <c r="H111" s="5" t="str">
        <f>"1999-04-20"</f>
        <v>1999-04-20</v>
      </c>
      <c r="I111" s="5" t="str">
        <f>"中共党员"</f>
        <v>中共党员</v>
      </c>
      <c r="J111" s="5" t="str">
        <f>"安庆师范大学"</f>
        <v>安庆师范大学</v>
      </c>
      <c r="K111" s="5" t="str">
        <f>"学科教学（思政）"</f>
        <v>学科教学（思政）</v>
      </c>
      <c r="L111" s="5" t="str">
        <f t="shared" si="24"/>
        <v>硕士研究生</v>
      </c>
      <c r="M111" s="5" t="str">
        <f t="shared" si="25"/>
        <v>硕士</v>
      </c>
    </row>
    <row r="112" spans="1:13" s="1" customFormat="1" ht="36" customHeight="1">
      <c r="A112" s="5" t="s">
        <v>20</v>
      </c>
      <c r="B112" s="5" t="str">
        <f t="shared" si="23"/>
        <v>YZ2024006</v>
      </c>
      <c r="C112" s="6" t="s">
        <v>21</v>
      </c>
      <c r="D112" s="5" t="s">
        <v>15</v>
      </c>
      <c r="E112" s="5" t="str">
        <f>"王忠君"</f>
        <v>王忠君</v>
      </c>
      <c r="F112" s="5" t="str">
        <f t="shared" si="26"/>
        <v>女</v>
      </c>
      <c r="G112" s="5" t="str">
        <f>"土家族"</f>
        <v>土家族</v>
      </c>
      <c r="H112" s="5" t="str">
        <f>"1997-08-09"</f>
        <v>1997-08-09</v>
      </c>
      <c r="I112" s="5" t="str">
        <f>"中共党员"</f>
        <v>中共党员</v>
      </c>
      <c r="J112" s="5" t="str">
        <f>"广州大学"</f>
        <v>广州大学</v>
      </c>
      <c r="K112" s="5" t="str">
        <f>"学科教学（思政）（）"</f>
        <v>学科教学（思政）（）</v>
      </c>
      <c r="L112" s="5" t="str">
        <f t="shared" si="24"/>
        <v>硕士研究生</v>
      </c>
      <c r="M112" s="5" t="str">
        <f t="shared" si="25"/>
        <v>硕士</v>
      </c>
    </row>
    <row r="113" spans="1:13" s="1" customFormat="1" ht="36" customHeight="1">
      <c r="A113" s="5" t="s">
        <v>20</v>
      </c>
      <c r="B113" s="5" t="str">
        <f t="shared" si="23"/>
        <v>YZ2024006</v>
      </c>
      <c r="C113" s="6" t="s">
        <v>21</v>
      </c>
      <c r="D113" s="5" t="s">
        <v>15</v>
      </c>
      <c r="E113" s="5" t="str">
        <f>"周蝶"</f>
        <v>周蝶</v>
      </c>
      <c r="F113" s="5" t="str">
        <f t="shared" si="26"/>
        <v>女</v>
      </c>
      <c r="G113" s="5" t="str">
        <f>"土家族"</f>
        <v>土家族</v>
      </c>
      <c r="H113" s="5" t="str">
        <f>"1997-10-05"</f>
        <v>1997-10-05</v>
      </c>
      <c r="I113" s="5" t="str">
        <f>"共青团员"</f>
        <v>共青团员</v>
      </c>
      <c r="J113" s="5" t="str">
        <f>"青海师范大学"</f>
        <v>青海师范大学</v>
      </c>
      <c r="K113" s="5" t="str">
        <f>"学科教学（思政）"</f>
        <v>学科教学（思政）</v>
      </c>
      <c r="L113" s="5" t="str">
        <f t="shared" si="24"/>
        <v>硕士研究生</v>
      </c>
      <c r="M113" s="5" t="str">
        <f t="shared" si="25"/>
        <v>硕士</v>
      </c>
    </row>
    <row r="114" spans="1:13" s="1" customFormat="1" ht="36" customHeight="1">
      <c r="A114" s="5" t="s">
        <v>20</v>
      </c>
      <c r="B114" s="5" t="str">
        <f t="shared" si="23"/>
        <v>YZ2024006</v>
      </c>
      <c r="C114" s="6" t="s">
        <v>21</v>
      </c>
      <c r="D114" s="5" t="s">
        <v>15</v>
      </c>
      <c r="E114" s="5" t="str">
        <f>"刘太维"</f>
        <v>刘太维</v>
      </c>
      <c r="F114" s="5" t="str">
        <f t="shared" si="26"/>
        <v>女</v>
      </c>
      <c r="G114" s="5" t="str">
        <f>"汉族"</f>
        <v>汉族</v>
      </c>
      <c r="H114" s="5" t="str">
        <f>"1996-10-23"</f>
        <v>1996-10-23</v>
      </c>
      <c r="I114" s="5" t="str">
        <f>"共青团员"</f>
        <v>共青团员</v>
      </c>
      <c r="J114" s="5" t="str">
        <f>"湖北大学"</f>
        <v>湖北大学</v>
      </c>
      <c r="K114" s="5" t="str">
        <f>"学科教学（思政）"</f>
        <v>学科教学（思政）</v>
      </c>
      <c r="L114" s="5" t="str">
        <f t="shared" si="24"/>
        <v>硕士研究生</v>
      </c>
      <c r="M114" s="5" t="str">
        <f t="shared" si="25"/>
        <v>硕士</v>
      </c>
    </row>
    <row r="115" spans="1:13" s="1" customFormat="1" ht="36" customHeight="1">
      <c r="A115" s="5" t="s">
        <v>20</v>
      </c>
      <c r="B115" s="5" t="str">
        <f t="shared" si="23"/>
        <v>YZ2024006</v>
      </c>
      <c r="C115" s="6" t="s">
        <v>21</v>
      </c>
      <c r="D115" s="5" t="s">
        <v>15</v>
      </c>
      <c r="E115" s="5" t="str">
        <f>"谢露露"</f>
        <v>谢露露</v>
      </c>
      <c r="F115" s="5" t="str">
        <f t="shared" si="26"/>
        <v>女</v>
      </c>
      <c r="G115" s="5" t="str">
        <f t="shared" ref="G115:G122" si="27">"土家族"</f>
        <v>土家族</v>
      </c>
      <c r="H115" s="5" t="str">
        <f>"1998-01-24"</f>
        <v>1998-01-24</v>
      </c>
      <c r="I115" s="5" t="str">
        <f>"中共预备党员"</f>
        <v>中共预备党员</v>
      </c>
      <c r="J115" s="5" t="str">
        <f>"湖北民族大学"</f>
        <v>湖北民族大学</v>
      </c>
      <c r="K115" s="5" t="str">
        <f>"党的建设"</f>
        <v>党的建设</v>
      </c>
      <c r="L115" s="5" t="str">
        <f t="shared" si="24"/>
        <v>硕士研究生</v>
      </c>
      <c r="M115" s="5" t="str">
        <f t="shared" si="25"/>
        <v>硕士</v>
      </c>
    </row>
    <row r="116" spans="1:13" s="1" customFormat="1" ht="36" customHeight="1">
      <c r="A116" s="5" t="s">
        <v>20</v>
      </c>
      <c r="B116" s="5" t="str">
        <f t="shared" si="23"/>
        <v>YZ2024006</v>
      </c>
      <c r="C116" s="6" t="s">
        <v>21</v>
      </c>
      <c r="D116" s="5" t="s">
        <v>15</v>
      </c>
      <c r="E116" s="5" t="str">
        <f>"罗娟"</f>
        <v>罗娟</v>
      </c>
      <c r="F116" s="5" t="str">
        <f t="shared" si="26"/>
        <v>女</v>
      </c>
      <c r="G116" s="5" t="str">
        <f t="shared" si="27"/>
        <v>土家族</v>
      </c>
      <c r="H116" s="5" t="str">
        <f>"1998-12-17"</f>
        <v>1998-12-17</v>
      </c>
      <c r="I116" s="5" t="str">
        <f>"中共党员"</f>
        <v>中共党员</v>
      </c>
      <c r="J116" s="5" t="str">
        <f>"武汉大学"</f>
        <v>武汉大学</v>
      </c>
      <c r="K116" s="5" t="str">
        <f>"马克思主义理论"</f>
        <v>马克思主义理论</v>
      </c>
      <c r="L116" s="5" t="str">
        <f t="shared" si="24"/>
        <v>硕士研究生</v>
      </c>
      <c r="M116" s="5" t="str">
        <f t="shared" si="25"/>
        <v>硕士</v>
      </c>
    </row>
    <row r="117" spans="1:13" s="1" customFormat="1" ht="36" customHeight="1">
      <c r="A117" s="5" t="s">
        <v>20</v>
      </c>
      <c r="B117" s="5" t="str">
        <f t="shared" si="23"/>
        <v>YZ2024006</v>
      </c>
      <c r="C117" s="6" t="s">
        <v>21</v>
      </c>
      <c r="D117" s="5" t="s">
        <v>15</v>
      </c>
      <c r="E117" s="5" t="str">
        <f>"康鸿"</f>
        <v>康鸿</v>
      </c>
      <c r="F117" s="5" t="str">
        <f t="shared" si="26"/>
        <v>女</v>
      </c>
      <c r="G117" s="5" t="str">
        <f t="shared" si="27"/>
        <v>土家族</v>
      </c>
      <c r="H117" s="5" t="str">
        <f>"2000-01-27"</f>
        <v>2000-01-27</v>
      </c>
      <c r="I117" s="5" t="str">
        <f>"中共党员"</f>
        <v>中共党员</v>
      </c>
      <c r="J117" s="5" t="str">
        <f>"华中师范大学"</f>
        <v>华中师范大学</v>
      </c>
      <c r="K117" s="5" t="str">
        <f>"学科教学（思政）"</f>
        <v>学科教学（思政）</v>
      </c>
      <c r="L117" s="5" t="str">
        <f t="shared" si="24"/>
        <v>硕士研究生</v>
      </c>
      <c r="M117" s="5" t="str">
        <f t="shared" si="25"/>
        <v>硕士</v>
      </c>
    </row>
    <row r="118" spans="1:13" s="1" customFormat="1" ht="36" customHeight="1">
      <c r="A118" s="5" t="s">
        <v>20</v>
      </c>
      <c r="B118" s="5" t="str">
        <f t="shared" si="23"/>
        <v>YZ2024006</v>
      </c>
      <c r="C118" s="6" t="s">
        <v>21</v>
      </c>
      <c r="D118" s="5" t="s">
        <v>15</v>
      </c>
      <c r="E118" s="5" t="str">
        <f>"吕璐"</f>
        <v>吕璐</v>
      </c>
      <c r="F118" s="5" t="str">
        <f t="shared" si="26"/>
        <v>女</v>
      </c>
      <c r="G118" s="5" t="str">
        <f t="shared" si="27"/>
        <v>土家族</v>
      </c>
      <c r="H118" s="5" t="str">
        <f>"1997-07-15"</f>
        <v>1997-07-15</v>
      </c>
      <c r="I118" s="5" t="str">
        <f>"共青团员"</f>
        <v>共青团员</v>
      </c>
      <c r="J118" s="5" t="str">
        <f>"贵州师范大学"</f>
        <v>贵州师范大学</v>
      </c>
      <c r="K118" s="5" t="str">
        <f>"中外政治制度"</f>
        <v>中外政治制度</v>
      </c>
      <c r="L118" s="5" t="str">
        <f t="shared" si="24"/>
        <v>硕士研究生</v>
      </c>
      <c r="M118" s="5" t="str">
        <f t="shared" si="25"/>
        <v>硕士</v>
      </c>
    </row>
    <row r="119" spans="1:13" s="1" customFormat="1" ht="36" customHeight="1">
      <c r="A119" s="5" t="s">
        <v>20</v>
      </c>
      <c r="B119" s="5" t="str">
        <f t="shared" si="23"/>
        <v>YZ2024006</v>
      </c>
      <c r="C119" s="6" t="s">
        <v>21</v>
      </c>
      <c r="D119" s="5" t="s">
        <v>15</v>
      </c>
      <c r="E119" s="5" t="str">
        <f>"何芮"</f>
        <v>何芮</v>
      </c>
      <c r="F119" s="5" t="str">
        <f t="shared" si="26"/>
        <v>女</v>
      </c>
      <c r="G119" s="5" t="str">
        <f t="shared" si="27"/>
        <v>土家族</v>
      </c>
      <c r="H119" s="5" t="str">
        <f>"1995-07-08"</f>
        <v>1995-07-08</v>
      </c>
      <c r="I119" s="5" t="str">
        <f>"中共党员"</f>
        <v>中共党员</v>
      </c>
      <c r="J119" s="5" t="str">
        <f>"湖北民族大学"</f>
        <v>湖北民族大学</v>
      </c>
      <c r="K119" s="5" t="str">
        <f>"思想政治教育"</f>
        <v>思想政治教育</v>
      </c>
      <c r="L119" s="5" t="str">
        <f t="shared" si="24"/>
        <v>硕士研究生</v>
      </c>
      <c r="M119" s="5" t="str">
        <f t="shared" si="25"/>
        <v>硕士</v>
      </c>
    </row>
    <row r="120" spans="1:13" s="1" customFormat="1" ht="36" customHeight="1">
      <c r="A120" s="5" t="s">
        <v>20</v>
      </c>
      <c r="B120" s="5" t="str">
        <f t="shared" ref="B120:B125" si="28">"YZ2024007"</f>
        <v>YZ2024007</v>
      </c>
      <c r="C120" s="6" t="s">
        <v>22</v>
      </c>
      <c r="D120" s="5" t="s">
        <v>15</v>
      </c>
      <c r="E120" s="5" t="str">
        <f>"鲁春艳"</f>
        <v>鲁春艳</v>
      </c>
      <c r="F120" s="5" t="str">
        <f t="shared" si="26"/>
        <v>女</v>
      </c>
      <c r="G120" s="5" t="str">
        <f t="shared" si="27"/>
        <v>土家族</v>
      </c>
      <c r="H120" s="5" t="str">
        <f>"1997-01-06"</f>
        <v>1997-01-06</v>
      </c>
      <c r="I120" s="5" t="str">
        <f>"共青团员"</f>
        <v>共青团员</v>
      </c>
      <c r="J120" s="5" t="str">
        <f>"陕西师范大学"</f>
        <v>陕西师范大学</v>
      </c>
      <c r="K120" s="5" t="str">
        <f>"中国史"</f>
        <v>中国史</v>
      </c>
      <c r="L120" s="5" t="str">
        <f t="shared" si="24"/>
        <v>硕士研究生</v>
      </c>
      <c r="M120" s="5" t="str">
        <f t="shared" si="25"/>
        <v>硕士</v>
      </c>
    </row>
    <row r="121" spans="1:13" s="1" customFormat="1" ht="36" customHeight="1">
      <c r="A121" s="5" t="s">
        <v>20</v>
      </c>
      <c r="B121" s="5" t="str">
        <f t="shared" si="28"/>
        <v>YZ2024007</v>
      </c>
      <c r="C121" s="6" t="s">
        <v>22</v>
      </c>
      <c r="D121" s="5" t="s">
        <v>15</v>
      </c>
      <c r="E121" s="5" t="str">
        <f>"肖倩"</f>
        <v>肖倩</v>
      </c>
      <c r="F121" s="5" t="str">
        <f t="shared" si="26"/>
        <v>女</v>
      </c>
      <c r="G121" s="5" t="str">
        <f t="shared" si="27"/>
        <v>土家族</v>
      </c>
      <c r="H121" s="5" t="str">
        <f>"1996-09-10"</f>
        <v>1996-09-10</v>
      </c>
      <c r="I121" s="5" t="str">
        <f>"共青团员"</f>
        <v>共青团员</v>
      </c>
      <c r="J121" s="5" t="str">
        <f>"西南大学"</f>
        <v>西南大学</v>
      </c>
      <c r="K121" s="5" t="str">
        <f>"学科教学（历史）"</f>
        <v>学科教学（历史）</v>
      </c>
      <c r="L121" s="5" t="str">
        <f t="shared" si="24"/>
        <v>硕士研究生</v>
      </c>
      <c r="M121" s="5" t="str">
        <f t="shared" si="25"/>
        <v>硕士</v>
      </c>
    </row>
    <row r="122" spans="1:13" s="1" customFormat="1" ht="36" customHeight="1">
      <c r="A122" s="5" t="s">
        <v>20</v>
      </c>
      <c r="B122" s="5" t="str">
        <f t="shared" si="28"/>
        <v>YZ2024007</v>
      </c>
      <c r="C122" s="6" t="s">
        <v>22</v>
      </c>
      <c r="D122" s="5" t="s">
        <v>15</v>
      </c>
      <c r="E122" s="5" t="str">
        <f>"田方明"</f>
        <v>田方明</v>
      </c>
      <c r="F122" s="5" t="str">
        <f>"男"</f>
        <v>男</v>
      </c>
      <c r="G122" s="5" t="str">
        <f t="shared" si="27"/>
        <v>土家族</v>
      </c>
      <c r="H122" s="5" t="str">
        <f>"1994-10-20"</f>
        <v>1994-10-20</v>
      </c>
      <c r="I122" s="5" t="str">
        <f>"共青团员"</f>
        <v>共青团员</v>
      </c>
      <c r="J122" s="5" t="str">
        <f>"长江大学"</f>
        <v>长江大学</v>
      </c>
      <c r="K122" s="5" t="str">
        <f>"学科教学（历史）"</f>
        <v>学科教学（历史）</v>
      </c>
      <c r="L122" s="5" t="str">
        <f t="shared" si="24"/>
        <v>硕士研究生</v>
      </c>
      <c r="M122" s="5" t="str">
        <f t="shared" si="25"/>
        <v>硕士</v>
      </c>
    </row>
    <row r="123" spans="1:13" s="1" customFormat="1" ht="36" customHeight="1">
      <c r="A123" s="5" t="s">
        <v>20</v>
      </c>
      <c r="B123" s="5" t="str">
        <f t="shared" si="28"/>
        <v>YZ2024007</v>
      </c>
      <c r="C123" s="6" t="s">
        <v>22</v>
      </c>
      <c r="D123" s="5" t="s">
        <v>15</v>
      </c>
      <c r="E123" s="5" t="str">
        <f>"方朱兵"</f>
        <v>方朱兵</v>
      </c>
      <c r="F123" s="5" t="str">
        <f>"男"</f>
        <v>男</v>
      </c>
      <c r="G123" s="5" t="str">
        <f>"汉族"</f>
        <v>汉族</v>
      </c>
      <c r="H123" s="5" t="str">
        <f>"1996-02-11"</f>
        <v>1996-02-11</v>
      </c>
      <c r="I123" s="5" t="str">
        <f>"群众"</f>
        <v>群众</v>
      </c>
      <c r="J123" s="5" t="str">
        <f>"安徽师范大学"</f>
        <v>安徽师范大学</v>
      </c>
      <c r="K123" s="5" t="str">
        <f>"学科教学历史"</f>
        <v>学科教学历史</v>
      </c>
      <c r="L123" s="5" t="str">
        <f t="shared" si="24"/>
        <v>硕士研究生</v>
      </c>
      <c r="M123" s="5" t="str">
        <f t="shared" si="25"/>
        <v>硕士</v>
      </c>
    </row>
    <row r="124" spans="1:13" s="1" customFormat="1" ht="36" customHeight="1">
      <c r="A124" s="5" t="s">
        <v>20</v>
      </c>
      <c r="B124" s="5" t="str">
        <f t="shared" si="28"/>
        <v>YZ2024007</v>
      </c>
      <c r="C124" s="6" t="s">
        <v>22</v>
      </c>
      <c r="D124" s="5" t="s">
        <v>15</v>
      </c>
      <c r="E124" s="5" t="str">
        <f>"杨若艺"</f>
        <v>杨若艺</v>
      </c>
      <c r="F124" s="5" t="str">
        <f>"女"</f>
        <v>女</v>
      </c>
      <c r="G124" s="5" t="str">
        <f>"土家族"</f>
        <v>土家族</v>
      </c>
      <c r="H124" s="5" t="str">
        <f>"1997-08-28"</f>
        <v>1997-08-28</v>
      </c>
      <c r="I124" s="5" t="str">
        <f>"共青团员"</f>
        <v>共青团员</v>
      </c>
      <c r="J124" s="5" t="str">
        <f>"云南大学"</f>
        <v>云南大学</v>
      </c>
      <c r="K124" s="5" t="str">
        <f>"中国史"</f>
        <v>中国史</v>
      </c>
      <c r="L124" s="5" t="str">
        <f t="shared" si="24"/>
        <v>硕士研究生</v>
      </c>
      <c r="M124" s="5" t="str">
        <f t="shared" si="25"/>
        <v>硕士</v>
      </c>
    </row>
    <row r="125" spans="1:13" s="1" customFormat="1" ht="36" customHeight="1">
      <c r="A125" s="5" t="s">
        <v>20</v>
      </c>
      <c r="B125" s="5" t="str">
        <f t="shared" si="28"/>
        <v>YZ2024007</v>
      </c>
      <c r="C125" s="6" t="s">
        <v>22</v>
      </c>
      <c r="D125" s="5" t="s">
        <v>15</v>
      </c>
      <c r="E125" s="5" t="str">
        <f>"丁芳敏"</f>
        <v>丁芳敏</v>
      </c>
      <c r="F125" s="5" t="str">
        <f>"女"</f>
        <v>女</v>
      </c>
      <c r="G125" s="5" t="str">
        <f>"汉族"</f>
        <v>汉族</v>
      </c>
      <c r="H125" s="5" t="str">
        <f>"1999-05-14"</f>
        <v>1999-05-14</v>
      </c>
      <c r="I125" s="5" t="str">
        <f>"共青团员"</f>
        <v>共青团员</v>
      </c>
      <c r="J125" s="5" t="str">
        <f>"湖北大学"</f>
        <v>湖北大学</v>
      </c>
      <c r="K125" s="5" t="str">
        <f>"中国史"</f>
        <v>中国史</v>
      </c>
      <c r="L125" s="5" t="str">
        <f t="shared" si="24"/>
        <v>硕士研究生</v>
      </c>
      <c r="M125" s="5" t="str">
        <f t="shared" si="25"/>
        <v>硕士</v>
      </c>
    </row>
    <row r="126" spans="1:13" s="1" customFormat="1" ht="36" customHeight="1">
      <c r="A126" s="5" t="s">
        <v>20</v>
      </c>
      <c r="B126" s="6" t="str">
        <f>"YZ2024002"</f>
        <v>YZ2024002</v>
      </c>
      <c r="C126" s="6" t="s">
        <v>16</v>
      </c>
      <c r="D126" s="6" t="s">
        <v>15</v>
      </c>
      <c r="E126" s="6" t="str">
        <f>"唐梦"</f>
        <v>唐梦</v>
      </c>
      <c r="F126" s="6" t="str">
        <f>"女"</f>
        <v>女</v>
      </c>
      <c r="G126" s="6" t="str">
        <f t="shared" ref="G126:G131" si="29">"土家族"</f>
        <v>土家族</v>
      </c>
      <c r="H126" s="6" t="str">
        <f>"1995-03-18"</f>
        <v>1995-03-18</v>
      </c>
      <c r="I126" s="6" t="str">
        <f>"群众"</f>
        <v>群众</v>
      </c>
      <c r="J126" s="6" t="str">
        <f>"新疆大学"</f>
        <v>新疆大学</v>
      </c>
      <c r="K126" s="6" t="str">
        <f>"数学"</f>
        <v>数学</v>
      </c>
      <c r="L126" s="6" t="str">
        <f t="shared" si="24"/>
        <v>硕士研究生</v>
      </c>
      <c r="M126" s="6" t="str">
        <f>"硕士"</f>
        <v>硕士</v>
      </c>
    </row>
    <row r="127" spans="1:13" s="1" customFormat="1" ht="36" customHeight="1">
      <c r="A127" s="5" t="s">
        <v>20</v>
      </c>
      <c r="B127" s="6" t="str">
        <f>"YZ2024002"</f>
        <v>YZ2024002</v>
      </c>
      <c r="C127" s="6" t="s">
        <v>16</v>
      </c>
      <c r="D127" s="6" t="s">
        <v>15</v>
      </c>
      <c r="E127" s="6" t="str">
        <f>"段绪跃"</f>
        <v>段绪跃</v>
      </c>
      <c r="F127" s="6" t="str">
        <f>"男"</f>
        <v>男</v>
      </c>
      <c r="G127" s="6" t="str">
        <f t="shared" si="29"/>
        <v>土家族</v>
      </c>
      <c r="H127" s="6" t="str">
        <f>"1996-10-17"</f>
        <v>1996-10-17</v>
      </c>
      <c r="I127" s="6" t="str">
        <f>"群众"</f>
        <v>群众</v>
      </c>
      <c r="J127" s="6" t="str">
        <f>"长江大学"</f>
        <v>长江大学</v>
      </c>
      <c r="K127" s="6" t="str">
        <f>"数学"</f>
        <v>数学</v>
      </c>
      <c r="L127" s="6" t="str">
        <f t="shared" si="24"/>
        <v>硕士研究生</v>
      </c>
      <c r="M127" s="6" t="str">
        <f>"硕士"</f>
        <v>硕士</v>
      </c>
    </row>
    <row r="128" spans="1:13" s="1" customFormat="1" ht="36" customHeight="1">
      <c r="A128" s="5" t="s">
        <v>20</v>
      </c>
      <c r="B128" s="6" t="str">
        <f>"YZ2024004"</f>
        <v>YZ2024004</v>
      </c>
      <c r="C128" s="6" t="s">
        <v>18</v>
      </c>
      <c r="D128" s="6" t="s">
        <v>15</v>
      </c>
      <c r="E128" s="6" t="str">
        <f>"郑应"</f>
        <v>郑应</v>
      </c>
      <c r="F128" s="6" t="str">
        <f>"男"</f>
        <v>男</v>
      </c>
      <c r="G128" s="6" t="str">
        <f t="shared" si="29"/>
        <v>土家族</v>
      </c>
      <c r="H128" s="6" t="str">
        <f>"1994-07-20"</f>
        <v>1994-07-20</v>
      </c>
      <c r="I128" s="6" t="str">
        <f>"群众"</f>
        <v>群众</v>
      </c>
      <c r="J128" s="6" t="str">
        <f>"西南交通大学"</f>
        <v>西南交通大学</v>
      </c>
      <c r="K128" s="6" t="str">
        <f>"理论物理"</f>
        <v>理论物理</v>
      </c>
      <c r="L128" s="6" t="str">
        <f t="shared" si="24"/>
        <v>硕士研究生</v>
      </c>
      <c r="M128" s="6" t="str">
        <f>"硕士"</f>
        <v>硕士</v>
      </c>
    </row>
    <row r="129" spans="1:13" s="1" customFormat="1" ht="36" customHeight="1">
      <c r="A129" s="5" t="s">
        <v>20</v>
      </c>
      <c r="B129" s="6" t="str">
        <f>"YZ2024004"</f>
        <v>YZ2024004</v>
      </c>
      <c r="C129" s="6" t="s">
        <v>18</v>
      </c>
      <c r="D129" s="6" t="s">
        <v>15</v>
      </c>
      <c r="E129" s="6" t="str">
        <f>"谢晟"</f>
        <v>谢晟</v>
      </c>
      <c r="F129" s="6" t="str">
        <f>"男"</f>
        <v>男</v>
      </c>
      <c r="G129" s="6" t="str">
        <f t="shared" si="29"/>
        <v>土家族</v>
      </c>
      <c r="H129" s="6" t="str">
        <f>"2002-05-25"</f>
        <v>2002-05-25</v>
      </c>
      <c r="I129" s="6" t="str">
        <f>"群众"</f>
        <v>群众</v>
      </c>
      <c r="J129" s="6" t="str">
        <f>"湖北师范大学"</f>
        <v>湖北师范大学</v>
      </c>
      <c r="K129" s="6" t="str">
        <f>"物理学"</f>
        <v>物理学</v>
      </c>
      <c r="L129" s="6" t="str">
        <f t="shared" si="24"/>
        <v>硕士研究生</v>
      </c>
      <c r="M129" s="6" t="str">
        <f>"学士"</f>
        <v>学士</v>
      </c>
    </row>
    <row r="130" spans="1:13" s="1" customFormat="1" ht="36" customHeight="1">
      <c r="A130" s="5" t="s">
        <v>20</v>
      </c>
      <c r="B130" s="6" t="str">
        <f t="shared" ref="B130:B137" si="30">"YZ2024005"</f>
        <v>YZ2024005</v>
      </c>
      <c r="C130" s="6" t="s">
        <v>19</v>
      </c>
      <c r="D130" s="6" t="s">
        <v>15</v>
      </c>
      <c r="E130" s="6" t="str">
        <f>"满熙"</f>
        <v>满熙</v>
      </c>
      <c r="F130" s="6" t="str">
        <f>"男"</f>
        <v>男</v>
      </c>
      <c r="G130" s="6" t="str">
        <f t="shared" si="29"/>
        <v>土家族</v>
      </c>
      <c r="H130" s="6" t="str">
        <f>"1999-11-14"</f>
        <v>1999-11-14</v>
      </c>
      <c r="I130" s="6" t="str">
        <f>"中共党员"</f>
        <v>中共党员</v>
      </c>
      <c r="J130" s="6" t="str">
        <f>"新疆大学"</f>
        <v>新疆大学</v>
      </c>
      <c r="K130" s="6" t="str">
        <f>"化学"</f>
        <v>化学</v>
      </c>
      <c r="L130" s="6" t="str">
        <f t="shared" si="24"/>
        <v>硕士研究生</v>
      </c>
      <c r="M130" s="6" t="str">
        <f t="shared" ref="M130:M137" si="31">"硕士"</f>
        <v>硕士</v>
      </c>
    </row>
    <row r="131" spans="1:13" s="1" customFormat="1" ht="36" customHeight="1">
      <c r="A131" s="5" t="s">
        <v>20</v>
      </c>
      <c r="B131" s="6" t="str">
        <f t="shared" si="30"/>
        <v>YZ2024005</v>
      </c>
      <c r="C131" s="6" t="s">
        <v>19</v>
      </c>
      <c r="D131" s="6" t="s">
        <v>15</v>
      </c>
      <c r="E131" s="6" t="str">
        <f>"黄瑞"</f>
        <v>黄瑞</v>
      </c>
      <c r="F131" s="6" t="str">
        <f>"男"</f>
        <v>男</v>
      </c>
      <c r="G131" s="6" t="str">
        <f t="shared" si="29"/>
        <v>土家族</v>
      </c>
      <c r="H131" s="6" t="str">
        <f>"1997-10-07"</f>
        <v>1997-10-07</v>
      </c>
      <c r="I131" s="6" t="str">
        <f>"共青团员"</f>
        <v>共青团员</v>
      </c>
      <c r="J131" s="6" t="str">
        <f>"西安科技大学"</f>
        <v>西安科技大学</v>
      </c>
      <c r="K131" s="6" t="str">
        <f>"化学"</f>
        <v>化学</v>
      </c>
      <c r="L131" s="6" t="str">
        <f t="shared" si="24"/>
        <v>硕士研究生</v>
      </c>
      <c r="M131" s="6" t="str">
        <f t="shared" si="31"/>
        <v>硕士</v>
      </c>
    </row>
    <row r="132" spans="1:13" s="1" customFormat="1" ht="36" customHeight="1">
      <c r="A132" s="5" t="s">
        <v>20</v>
      </c>
      <c r="B132" s="6" t="str">
        <f t="shared" si="30"/>
        <v>YZ2024005</v>
      </c>
      <c r="C132" s="6" t="s">
        <v>19</v>
      </c>
      <c r="D132" s="6" t="s">
        <v>15</v>
      </c>
      <c r="E132" s="6" t="str">
        <f>"朱亿彩"</f>
        <v>朱亿彩</v>
      </c>
      <c r="F132" s="6" t="str">
        <f>"女"</f>
        <v>女</v>
      </c>
      <c r="G132" s="6" t="str">
        <f>"苗族"</f>
        <v>苗族</v>
      </c>
      <c r="H132" s="6" t="str">
        <f>"1998-08-04"</f>
        <v>1998-08-04</v>
      </c>
      <c r="I132" s="6" t="str">
        <f>"中共预备党员"</f>
        <v>中共预备党员</v>
      </c>
      <c r="J132" s="6" t="str">
        <f>"安徽大学"</f>
        <v>安徽大学</v>
      </c>
      <c r="K132" s="6" t="str">
        <f>"有机化学"</f>
        <v>有机化学</v>
      </c>
      <c r="L132" s="6" t="str">
        <f t="shared" si="24"/>
        <v>硕士研究生</v>
      </c>
      <c r="M132" s="6" t="str">
        <f t="shared" si="31"/>
        <v>硕士</v>
      </c>
    </row>
    <row r="133" spans="1:13" s="1" customFormat="1" ht="36" customHeight="1">
      <c r="A133" s="5" t="s">
        <v>20</v>
      </c>
      <c r="B133" s="6" t="str">
        <f t="shared" si="30"/>
        <v>YZ2024005</v>
      </c>
      <c r="C133" s="6" t="s">
        <v>19</v>
      </c>
      <c r="D133" s="6" t="s">
        <v>15</v>
      </c>
      <c r="E133" s="6" t="str">
        <f>"陈莲"</f>
        <v>陈莲</v>
      </c>
      <c r="F133" s="6" t="str">
        <f>"女"</f>
        <v>女</v>
      </c>
      <c r="G133" s="6" t="str">
        <f>"苗族"</f>
        <v>苗族</v>
      </c>
      <c r="H133" s="6" t="str">
        <f>"1999-06-12"</f>
        <v>1999-06-12</v>
      </c>
      <c r="I133" s="6" t="str">
        <f>"共青团员"</f>
        <v>共青团员</v>
      </c>
      <c r="J133" s="6" t="str">
        <f>"杭州师范大学"</f>
        <v>杭州师范大学</v>
      </c>
      <c r="K133" s="6" t="str">
        <f>"材料与化工"</f>
        <v>材料与化工</v>
      </c>
      <c r="L133" s="6" t="str">
        <f t="shared" si="24"/>
        <v>硕士研究生</v>
      </c>
      <c r="M133" s="6" t="str">
        <f t="shared" si="31"/>
        <v>硕士</v>
      </c>
    </row>
    <row r="134" spans="1:13" s="1" customFormat="1" ht="36" customHeight="1">
      <c r="A134" s="5" t="s">
        <v>20</v>
      </c>
      <c r="B134" s="6" t="str">
        <f t="shared" si="30"/>
        <v>YZ2024005</v>
      </c>
      <c r="C134" s="6" t="s">
        <v>19</v>
      </c>
      <c r="D134" s="6" t="s">
        <v>15</v>
      </c>
      <c r="E134" s="6" t="str">
        <f>"张磊"</f>
        <v>张磊</v>
      </c>
      <c r="F134" s="6" t="str">
        <f>"男"</f>
        <v>男</v>
      </c>
      <c r="G134" s="6" t="str">
        <f>"汉族"</f>
        <v>汉族</v>
      </c>
      <c r="H134" s="6" t="str">
        <f>"1990-02-09"</f>
        <v>1990-02-09</v>
      </c>
      <c r="I134" s="6" t="str">
        <f>"群众"</f>
        <v>群众</v>
      </c>
      <c r="J134" s="6" t="str">
        <f>"武汉理工大学"</f>
        <v>武汉理工大学</v>
      </c>
      <c r="K134" s="6" t="str">
        <f>"无机化学"</f>
        <v>无机化学</v>
      </c>
      <c r="L134" s="6" t="str">
        <f t="shared" si="24"/>
        <v>硕士研究生</v>
      </c>
      <c r="M134" s="6" t="str">
        <f t="shared" si="31"/>
        <v>硕士</v>
      </c>
    </row>
    <row r="135" spans="1:13" s="1" customFormat="1" ht="36" customHeight="1">
      <c r="A135" s="5" t="s">
        <v>20</v>
      </c>
      <c r="B135" s="6" t="str">
        <f t="shared" si="30"/>
        <v>YZ2024005</v>
      </c>
      <c r="C135" s="6" t="s">
        <v>19</v>
      </c>
      <c r="D135" s="6" t="s">
        <v>15</v>
      </c>
      <c r="E135" s="6" t="str">
        <f>"邹伦妃"</f>
        <v>邹伦妃</v>
      </c>
      <c r="F135" s="6" t="str">
        <f>"女"</f>
        <v>女</v>
      </c>
      <c r="G135" s="6" t="str">
        <f>"汉族"</f>
        <v>汉族</v>
      </c>
      <c r="H135" s="6" t="str">
        <f>"1997-10-25"</f>
        <v>1997-10-25</v>
      </c>
      <c r="I135" s="6" t="str">
        <f>"中共党员"</f>
        <v>中共党员</v>
      </c>
      <c r="J135" s="6" t="str">
        <f>"江汉大学"</f>
        <v>江汉大学</v>
      </c>
      <c r="K135" s="6" t="str">
        <f>"应用化学"</f>
        <v>应用化学</v>
      </c>
      <c r="L135" s="6" t="str">
        <f t="shared" si="24"/>
        <v>硕士研究生</v>
      </c>
      <c r="M135" s="6" t="str">
        <f t="shared" si="31"/>
        <v>硕士</v>
      </c>
    </row>
    <row r="136" spans="1:13" s="1" customFormat="1" ht="36" customHeight="1">
      <c r="A136" s="5" t="s">
        <v>20</v>
      </c>
      <c r="B136" s="6" t="str">
        <f t="shared" si="30"/>
        <v>YZ2024005</v>
      </c>
      <c r="C136" s="6" t="s">
        <v>19</v>
      </c>
      <c r="D136" s="6" t="s">
        <v>15</v>
      </c>
      <c r="E136" s="6" t="str">
        <f>"王彦"</f>
        <v>王彦</v>
      </c>
      <c r="F136" s="6" t="str">
        <f>"男"</f>
        <v>男</v>
      </c>
      <c r="G136" s="6" t="str">
        <f>"土家族"</f>
        <v>土家族</v>
      </c>
      <c r="H136" s="6" t="str">
        <f>"1995-03-07"</f>
        <v>1995-03-07</v>
      </c>
      <c r="I136" s="6" t="str">
        <f>"群众"</f>
        <v>群众</v>
      </c>
      <c r="J136" s="6" t="str">
        <f>"华中师范大学"</f>
        <v>华中师范大学</v>
      </c>
      <c r="K136" s="6" t="str">
        <f>"材料与化工"</f>
        <v>材料与化工</v>
      </c>
      <c r="L136" s="6" t="str">
        <f t="shared" si="24"/>
        <v>硕士研究生</v>
      </c>
      <c r="M136" s="6" t="str">
        <f t="shared" si="31"/>
        <v>硕士</v>
      </c>
    </row>
    <row r="137" spans="1:13" s="1" customFormat="1" ht="36" customHeight="1">
      <c r="A137" s="5" t="s">
        <v>20</v>
      </c>
      <c r="B137" s="6" t="str">
        <f t="shared" si="30"/>
        <v>YZ2024005</v>
      </c>
      <c r="C137" s="6" t="s">
        <v>19</v>
      </c>
      <c r="D137" s="6" t="s">
        <v>15</v>
      </c>
      <c r="E137" s="6" t="str">
        <f>"彭建明"</f>
        <v>彭建明</v>
      </c>
      <c r="F137" s="6" t="str">
        <f>"男"</f>
        <v>男</v>
      </c>
      <c r="G137" s="6" t="str">
        <f>"土家族"</f>
        <v>土家族</v>
      </c>
      <c r="H137" s="6" t="str">
        <f>"1991-10-20"</f>
        <v>1991-10-20</v>
      </c>
      <c r="I137" s="6" t="str">
        <f>"共青团员"</f>
        <v>共青团员</v>
      </c>
      <c r="J137" s="6" t="str">
        <f>"福建师范大学"</f>
        <v>福建师范大学</v>
      </c>
      <c r="K137" s="6" t="str">
        <f>"化学工艺"</f>
        <v>化学工艺</v>
      </c>
      <c r="L137" s="6" t="str">
        <f t="shared" si="24"/>
        <v>硕士研究生</v>
      </c>
      <c r="M137" s="6" t="str">
        <f t="shared" si="31"/>
        <v>硕士</v>
      </c>
    </row>
  </sheetData>
  <mergeCells count="1">
    <mergeCell ref="A1:M1"/>
  </mergeCells>
  <phoneticPr fontId="1" type="noConversion"/>
  <pageMargins left="0.23622047244094491" right="0.15748031496062992" top="0.35433070866141736" bottom="0.27559055118110237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2024-04-22T07:10:36Z</dcterms:modified>
</cp:coreProperties>
</file>