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Sheet1!$A$1:$L$139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<sst xmlns="http://schemas.openxmlformats.org/spreadsheetml/2006/main" count="783" uniqueCount="230">
  <si>
    <t>2024年来凤县第一中学、来凤县中等职业技术学校专项公开招聘工作人员面试名单</t>
  </si>
  <si>
    <t>序号</t>
  </si>
  <si>
    <t>招聘单位</t>
  </si>
  <si>
    <t>岗位名称</t>
  </si>
  <si>
    <t>岗位代码</t>
  </si>
  <si>
    <t>姓名</t>
  </si>
  <si>
    <t>性别</t>
  </si>
  <si>
    <t>出生年月</t>
  </si>
  <si>
    <t>应届或社会在职</t>
  </si>
  <si>
    <t>毕业学校</t>
  </si>
  <si>
    <t>所学专业</t>
  </si>
  <si>
    <t>学历</t>
  </si>
  <si>
    <t>学位</t>
  </si>
  <si>
    <t>来凤县第一中学</t>
  </si>
  <si>
    <t>地理教师</t>
  </si>
  <si>
    <t>z2024322</t>
  </si>
  <si>
    <t>龚巧</t>
  </si>
  <si>
    <t>女</t>
  </si>
  <si>
    <t>1998-11-08</t>
  </si>
  <si>
    <t>应届</t>
  </si>
  <si>
    <t>湖北大学</t>
  </si>
  <si>
    <t>学科教学（地理）</t>
  </si>
  <si>
    <t>硕士研究生</t>
  </si>
  <si>
    <t>硕士</t>
  </si>
  <si>
    <t>谭华荣</t>
  </si>
  <si>
    <t>男</t>
  </si>
  <si>
    <t>1999-11-13</t>
  </si>
  <si>
    <t>安徽师范大学</t>
  </si>
  <si>
    <t>自然地理学</t>
  </si>
  <si>
    <t>化学教师</t>
  </si>
  <si>
    <t>z2024323</t>
  </si>
  <si>
    <t>田梅荣</t>
  </si>
  <si>
    <t>1999-06-30</t>
  </si>
  <si>
    <t>华中科技大学</t>
  </si>
  <si>
    <t>化学</t>
  </si>
  <si>
    <t>陈莲</t>
  </si>
  <si>
    <t>1999-06-12</t>
  </si>
  <si>
    <t>杭州师范大学</t>
  </si>
  <si>
    <t>材料与化工</t>
  </si>
  <si>
    <t>覃荣华</t>
  </si>
  <si>
    <t>1994-02-15</t>
  </si>
  <si>
    <t>社会在职</t>
  </si>
  <si>
    <t>武汉科技大学</t>
  </si>
  <si>
    <t>化学工程</t>
  </si>
  <si>
    <t>满熙</t>
  </si>
  <si>
    <t>1999-11-14</t>
  </si>
  <si>
    <t>新疆大学</t>
  </si>
  <si>
    <t>黄文秀</t>
  </si>
  <si>
    <t>1996-10-21</t>
  </si>
  <si>
    <t>中山大学</t>
  </si>
  <si>
    <t>分析化学</t>
  </si>
  <si>
    <t>政治教师</t>
  </si>
  <si>
    <t>物理教师</t>
  </si>
  <si>
    <t>z2024325</t>
  </si>
  <si>
    <t>乔俊红</t>
  </si>
  <si>
    <t>1996-10-30</t>
  </si>
  <si>
    <t>重庆理工大学</t>
  </si>
  <si>
    <t>测试计量技术及仪器</t>
  </si>
  <si>
    <t>李慧</t>
  </si>
  <si>
    <t>1998-07-16</t>
  </si>
  <si>
    <t>河南</t>
  </si>
  <si>
    <t>物理学</t>
  </si>
  <si>
    <t>英语教师</t>
  </si>
  <si>
    <t>z2024326</t>
  </si>
  <si>
    <t>李昀倩</t>
  </si>
  <si>
    <t>1992-12-08</t>
  </si>
  <si>
    <t>江西农业大学</t>
  </si>
  <si>
    <t>学科教学（英语）</t>
  </si>
  <si>
    <t>李荣</t>
  </si>
  <si>
    <t>1999-09-13</t>
  </si>
  <si>
    <t>三峡大学</t>
  </si>
  <si>
    <t>刘珂</t>
  </si>
  <si>
    <t>1994-06-07</t>
  </si>
  <si>
    <t>陕西师范大学</t>
  </si>
  <si>
    <t>肖大军</t>
  </si>
  <si>
    <t>1993-11-02</t>
  </si>
  <si>
    <t>西南财经大学</t>
  </si>
  <si>
    <t>英语笔译</t>
  </si>
  <si>
    <t>覃语宬</t>
  </si>
  <si>
    <t>1999-09-23</t>
  </si>
  <si>
    <t>华中师范大学</t>
  </si>
  <si>
    <t>徐丽萍</t>
  </si>
  <si>
    <t>1999-03-19</t>
  </si>
  <si>
    <t>湖南理工学院</t>
  </si>
  <si>
    <t>彭璐</t>
  </si>
  <si>
    <t>1997-11-24</t>
  </si>
  <si>
    <t>广西科技大学</t>
  </si>
  <si>
    <t>刘杨</t>
  </si>
  <si>
    <t>1996-10-02</t>
  </si>
  <si>
    <t>湖北民族大学</t>
  </si>
  <si>
    <t>王胜姣</t>
  </si>
  <si>
    <t>1995-09-19</t>
  </si>
  <si>
    <t>华中农业大学</t>
  </si>
  <si>
    <t>谢聪</t>
  </si>
  <si>
    <t>1999-09-02</t>
  </si>
  <si>
    <t>伊犁师范大学</t>
  </si>
  <si>
    <t>冉福春</t>
  </si>
  <si>
    <t>1994-02-10</t>
  </si>
  <si>
    <t>中南民族大学</t>
  </si>
  <si>
    <t>田景淳</t>
  </si>
  <si>
    <t>1997-07-06</t>
  </si>
  <si>
    <t>四川外国语大学</t>
  </si>
  <si>
    <t>英语语言文学</t>
  </si>
  <si>
    <t>向洁</t>
  </si>
  <si>
    <t>1989-03-13</t>
  </si>
  <si>
    <t>广西民族大学</t>
  </si>
  <si>
    <t>来凤县中等职业技术学校</t>
  </si>
  <si>
    <t>语文教师</t>
  </si>
  <si>
    <t>z2024328</t>
  </si>
  <si>
    <t>杨世娇</t>
  </si>
  <si>
    <t>1999-07-28</t>
  </si>
  <si>
    <t>学科教学（语文）</t>
  </si>
  <si>
    <t>鲁芝润</t>
  </si>
  <si>
    <t>1999-10-04</t>
  </si>
  <si>
    <t>湖北师范大学</t>
  </si>
  <si>
    <t>中国现当代文学</t>
  </si>
  <si>
    <t>杨慧茹</t>
  </si>
  <si>
    <t>1999-02-14</t>
  </si>
  <si>
    <t>内蒙古科技大学包头师范学院</t>
  </si>
  <si>
    <t>易子琴</t>
  </si>
  <si>
    <t>2000-08-05</t>
  </si>
  <si>
    <t>徐枫</t>
  </si>
  <si>
    <t>1994-08-11</t>
  </si>
  <si>
    <t>西南大学</t>
  </si>
  <si>
    <t>中国古代文学</t>
  </si>
  <si>
    <t>黄渝凤</t>
  </si>
  <si>
    <t>1999-03-22</t>
  </si>
  <si>
    <t>湖北工业大学</t>
  </si>
  <si>
    <t>汉语国际教育</t>
  </si>
  <si>
    <t>陈密</t>
  </si>
  <si>
    <t>1998-10-10</t>
  </si>
  <si>
    <t>长江大学</t>
  </si>
  <si>
    <t>向妮华</t>
  </si>
  <si>
    <t>1999-01-26</t>
  </si>
  <si>
    <t>吴思其</t>
  </si>
  <si>
    <t>1996-08-10</t>
  </si>
  <si>
    <t>西华师范大学</t>
  </si>
  <si>
    <t>冉怿</t>
  </si>
  <si>
    <t>1997-06-17</t>
  </si>
  <si>
    <t>云南师范大学</t>
  </si>
  <si>
    <t>向珊珊</t>
  </si>
  <si>
    <t>1995-10-22</t>
  </si>
  <si>
    <t>重庆交通大学</t>
  </si>
  <si>
    <t>向迎香</t>
  </si>
  <si>
    <t>1997-02-26</t>
  </si>
  <si>
    <t>兰州大学</t>
  </si>
  <si>
    <t>吴抒鸿</t>
  </si>
  <si>
    <t>1996-03-16</t>
  </si>
  <si>
    <t>英国诺丁汉大学</t>
  </si>
  <si>
    <t>对外汉语教学（汉语国际教育）</t>
  </si>
  <si>
    <t>卢芳婷</t>
  </si>
  <si>
    <t>1997-04-08</t>
  </si>
  <si>
    <t>吉首大学</t>
  </si>
  <si>
    <t>杨欣睿</t>
  </si>
  <si>
    <t>1999-06-20</t>
  </si>
  <si>
    <t>阜阳师范大学</t>
  </si>
  <si>
    <t>数学教师</t>
  </si>
  <si>
    <t>z2024329</t>
  </si>
  <si>
    <t>段绪跃</t>
  </si>
  <si>
    <t>1996-10-17</t>
  </si>
  <si>
    <t>数学</t>
  </si>
  <si>
    <t>邓力</t>
  </si>
  <si>
    <t>z2024330</t>
  </si>
  <si>
    <t>黄娅婷</t>
  </si>
  <si>
    <t>1993-03-21</t>
  </si>
  <si>
    <t>厦门大学</t>
  </si>
  <si>
    <t>英语口译</t>
  </si>
  <si>
    <t>吴筱莉</t>
  </si>
  <si>
    <t>1999-08-07</t>
  </si>
  <si>
    <t>李亚风</t>
  </si>
  <si>
    <t>1990-08-14</t>
  </si>
  <si>
    <t>四川大学</t>
  </si>
  <si>
    <t>谢利华</t>
  </si>
  <si>
    <t>1995-01-17</t>
  </si>
  <si>
    <t>向柳</t>
  </si>
  <si>
    <t>1999-08-30</t>
  </si>
  <si>
    <t>向若兰</t>
  </si>
  <si>
    <t>1992-12-16</t>
  </si>
  <si>
    <t>纽卡斯尔大学（英国）</t>
  </si>
  <si>
    <t>应用语言学与对外英语教学专业</t>
  </si>
  <si>
    <t>计算机教师</t>
  </si>
  <si>
    <t>z2024331</t>
  </si>
  <si>
    <t>田园</t>
  </si>
  <si>
    <t>1988-12-26</t>
  </si>
  <si>
    <t>计算机技术</t>
  </si>
  <si>
    <t>余丹丹</t>
  </si>
  <si>
    <t>1997-04-02</t>
  </si>
  <si>
    <t>浙江师范大学</t>
  </si>
  <si>
    <t>教育技术学</t>
  </si>
  <si>
    <t>黄勇</t>
  </si>
  <si>
    <t>1991-02-07</t>
  </si>
  <si>
    <t>汽修教师</t>
  </si>
  <si>
    <t>z2024332</t>
  </si>
  <si>
    <t>祁德毅</t>
  </si>
  <si>
    <t>1992-02-07</t>
  </si>
  <si>
    <t>广东工业大学</t>
  </si>
  <si>
    <t>工业设计工程</t>
  </si>
  <si>
    <t>电子电工教师</t>
  </si>
  <si>
    <t>z2024333</t>
  </si>
  <si>
    <t>杨东哺</t>
  </si>
  <si>
    <t>1997-10-14</t>
  </si>
  <si>
    <t>深圳大学</t>
  </si>
  <si>
    <t>集成电路工程</t>
  </si>
  <si>
    <t>王钦凡</t>
  </si>
  <si>
    <t>1994-07-23</t>
  </si>
  <si>
    <t>大连工业大学</t>
  </si>
  <si>
    <t>电子信息</t>
  </si>
  <si>
    <t>何之锟</t>
  </si>
  <si>
    <t>1999-06-03</t>
  </si>
  <si>
    <t>通信工程</t>
  </si>
  <si>
    <t>本科</t>
  </si>
  <si>
    <t>学士</t>
  </si>
  <si>
    <t>何比</t>
  </si>
  <si>
    <t>1999-06-11</t>
  </si>
  <si>
    <t>电子信息工程</t>
  </si>
  <si>
    <t>作物生产技术教师</t>
  </si>
  <si>
    <t>旅游管理与酒店服务教师</t>
  </si>
  <si>
    <t>美术教师</t>
  </si>
  <si>
    <t>z2024336</t>
  </si>
  <si>
    <t>朱杰</t>
  </si>
  <si>
    <t>1998-03-18</t>
  </si>
  <si>
    <t>美术</t>
  </si>
  <si>
    <t>谭英娜</t>
  </si>
  <si>
    <t>1993-03-20</t>
  </si>
  <si>
    <t>西南民族大学</t>
  </si>
  <si>
    <t>美术学</t>
  </si>
  <si>
    <t>张晓妍</t>
  </si>
  <si>
    <t>1998-06-30</t>
  </si>
  <si>
    <t>河南大学</t>
  </si>
  <si>
    <t>电子商务教师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</si>
</sst>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9"/>
  <sheetViews>
    <sheetView tabSelected="1" workbookViewId="0">
      <selection activeCell="S7" sqref="S7"/>
    </sheetView>
  </sheetViews>
  <sheetFormatPr defaultColWidth="9" defaultRowHeight="13.5"/>
  <cols>
    <col min="1" max="1" width="4.625" style="5" customWidth="1"/>
    <col min="2" max="2" width="14.75" style="5" customWidth="1"/>
    <col min="3" max="4" width="9" style="5"/>
    <col min="5" max="5" width="6.75" style="5" customWidth="1"/>
    <col min="6" max="6" width="4.625" style="5" customWidth="1"/>
    <col min="7" max="7" width="11.5" style="5" customWidth="1"/>
    <col min="8" max="8" width="9.25" style="5" customWidth="1"/>
    <col min="9" max="9" width="12.375" style="5" customWidth="1"/>
    <col min="10" max="10" width="10.25" style="5" customWidth="1"/>
    <col min="11" max="11" width="7.125" style="5" customWidth="1"/>
    <col min="12" max="12" width="5.75" style="5" customWidth="1"/>
    <col min="13" max="16384" width="9" style="5"/>
  </cols>
  <sheetData>
    <row r="1" s="1" customFormat="1" ht="8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6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3" customFormat="1" ht="40" customHeight="1" spans="1:12">
      <c r="A3" s="8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3" customFormat="1" ht="40" customHeight="1" spans="1:12">
      <c r="A4" s="8">
        <v>2</v>
      </c>
      <c r="B4" s="8" t="s">
        <v>13</v>
      </c>
      <c r="C4" s="8" t="s">
        <v>14</v>
      </c>
      <c r="D4" s="8" t="s">
        <v>15</v>
      </c>
      <c r="E4" s="8" t="s">
        <v>24</v>
      </c>
      <c r="F4" s="8" t="s">
        <v>25</v>
      </c>
      <c r="G4" s="8" t="s">
        <v>26</v>
      </c>
      <c r="H4" s="8" t="s">
        <v>19</v>
      </c>
      <c r="I4" s="8" t="s">
        <v>27</v>
      </c>
      <c r="J4" s="8" t="s">
        <v>28</v>
      </c>
      <c r="K4" s="8" t="s">
        <v>22</v>
      </c>
      <c r="L4" s="8" t="s">
        <v>23</v>
      </c>
    </row>
    <row r="5" s="3" customFormat="1" ht="40" customHeight="1" spans="1:12">
      <c r="A5" s="8">
        <v>3</v>
      </c>
      <c r="B5" s="8" t="s">
        <v>13</v>
      </c>
      <c r="C5" s="8" t="s">
        <v>29</v>
      </c>
      <c r="D5" s="8" t="s">
        <v>30</v>
      </c>
      <c r="E5" s="8" t="s">
        <v>31</v>
      </c>
      <c r="F5" s="8" t="s">
        <v>17</v>
      </c>
      <c r="G5" s="8" t="s">
        <v>32</v>
      </c>
      <c r="H5" s="8" t="s">
        <v>19</v>
      </c>
      <c r="I5" s="8" t="s">
        <v>33</v>
      </c>
      <c r="J5" s="8" t="s">
        <v>34</v>
      </c>
      <c r="K5" s="8" t="s">
        <v>22</v>
      </c>
      <c r="L5" s="8" t="s">
        <v>23</v>
      </c>
    </row>
    <row r="6" s="3" customFormat="1" ht="40" customHeight="1" spans="1:12">
      <c r="A6" s="8">
        <v>4</v>
      </c>
      <c r="B6" s="8" t="s">
        <v>13</v>
      </c>
      <c r="C6" s="8" t="s">
        <v>29</v>
      </c>
      <c r="D6" s="8" t="s">
        <v>30</v>
      </c>
      <c r="E6" s="8" t="s">
        <v>35</v>
      </c>
      <c r="F6" s="8" t="s">
        <v>17</v>
      </c>
      <c r="G6" s="8" t="s">
        <v>36</v>
      </c>
      <c r="H6" s="8" t="s">
        <v>19</v>
      </c>
      <c r="I6" s="8" t="s">
        <v>37</v>
      </c>
      <c r="J6" s="8" t="s">
        <v>38</v>
      </c>
      <c r="K6" s="8" t="s">
        <v>22</v>
      </c>
      <c r="L6" s="8" t="s">
        <v>23</v>
      </c>
    </row>
    <row r="7" s="3" customFormat="1" ht="40" customHeight="1" spans="1:12">
      <c r="A7" s="8">
        <v>5</v>
      </c>
      <c r="B7" s="8" t="s">
        <v>13</v>
      </c>
      <c r="C7" s="8" t="s">
        <v>29</v>
      </c>
      <c r="D7" s="8" t="s">
        <v>30</v>
      </c>
      <c r="E7" s="8" t="s">
        <v>39</v>
      </c>
      <c r="F7" s="8" t="s">
        <v>25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22</v>
      </c>
      <c r="L7" s="8" t="s">
        <v>23</v>
      </c>
    </row>
    <row r="8" s="3" customFormat="1" ht="40" customHeight="1" spans="1:12">
      <c r="A8" s="8">
        <v>6</v>
      </c>
      <c r="B8" s="8" t="s">
        <v>13</v>
      </c>
      <c r="C8" s="8" t="s">
        <v>29</v>
      </c>
      <c r="D8" s="8" t="s">
        <v>30</v>
      </c>
      <c r="E8" s="8" t="s">
        <v>44</v>
      </c>
      <c r="F8" s="8" t="s">
        <v>25</v>
      </c>
      <c r="G8" s="8" t="s">
        <v>45</v>
      </c>
      <c r="H8" s="8" t="s">
        <v>19</v>
      </c>
      <c r="I8" s="8" t="s">
        <v>46</v>
      </c>
      <c r="J8" s="8" t="s">
        <v>34</v>
      </c>
      <c r="K8" s="8" t="s">
        <v>22</v>
      </c>
      <c r="L8" s="8" t="s">
        <v>23</v>
      </c>
    </row>
    <row r="9" s="3" customFormat="1" ht="40" customHeight="1" spans="1:12">
      <c r="A9" s="8">
        <v>7</v>
      </c>
      <c r="B9" s="8" t="s">
        <v>13</v>
      </c>
      <c r="C9" s="8" t="s">
        <v>29</v>
      </c>
      <c r="D9" s="8" t="s">
        <v>30</v>
      </c>
      <c r="E9" s="8" t="s">
        <v>47</v>
      </c>
      <c r="F9" s="8" t="s">
        <v>17</v>
      </c>
      <c r="G9" s="8" t="s">
        <v>48</v>
      </c>
      <c r="H9" s="8" t="s">
        <v>41</v>
      </c>
      <c r="I9" s="8" t="s">
        <v>49</v>
      </c>
      <c r="J9" s="8" t="s">
        <v>50</v>
      </c>
      <c r="K9" s="8" t="s">
        <v>22</v>
      </c>
      <c r="L9" s="8" t="s">
        <v>23</v>
      </c>
    </row>
    <row r="10" s="4" customFormat="1" ht="40" customHeight="1" spans="1:12">
      <c r="A10" s="9">
        <v>8</v>
      </c>
      <c r="B10" s="10" t="s">
        <v>13</v>
      </c>
      <c r="C10" s="10" t="s">
        <v>51</v>
      </c>
      <c r="D10" s="10" t="str">
        <f t="shared" ref="D10:D12" si="0">"z2024324"</f>
        <v>z2024324</v>
      </c>
      <c r="E10" s="10" t="str">
        <f>"向菁菁"</f>
        <v>向菁菁</v>
      </c>
      <c r="F10" s="10" t="str">
        <f t="shared" ref="F10:F12" si="1">"女"</f>
        <v>女</v>
      </c>
      <c r="G10" s="10" t="str">
        <f>"1996-09-11"</f>
        <v>1996-09-11</v>
      </c>
      <c r="H10" s="10" t="str">
        <f>"社会在职"</f>
        <v>社会在职</v>
      </c>
      <c r="I10" s="10" t="str">
        <f>"黄冈师范学院"</f>
        <v>黄冈师范学院</v>
      </c>
      <c r="J10" s="10" t="str">
        <f>"学科教学（思政）"</f>
        <v>学科教学（思政）</v>
      </c>
      <c r="K10" s="10" t="str">
        <f t="shared" ref="K10:K12" si="2">"硕士研究生"</f>
        <v>硕士研究生</v>
      </c>
      <c r="L10" s="10" t="str">
        <f t="shared" ref="L10:L12" si="3">"硕士"</f>
        <v>硕士</v>
      </c>
    </row>
    <row r="11" s="4" customFormat="1" ht="40" customHeight="1" spans="1:12">
      <c r="A11" s="9">
        <v>9</v>
      </c>
      <c r="B11" s="10" t="s">
        <v>13</v>
      </c>
      <c r="C11" s="10" t="s">
        <v>51</v>
      </c>
      <c r="D11" s="10" t="str">
        <f t="shared" si="0"/>
        <v>z2024324</v>
      </c>
      <c r="E11" s="10" t="str">
        <f>"崔佳男"</f>
        <v>崔佳男</v>
      </c>
      <c r="F11" s="10" t="str">
        <f t="shared" si="1"/>
        <v>女</v>
      </c>
      <c r="G11" s="10" t="str">
        <f>"1993-01-01"</f>
        <v>1993-01-01</v>
      </c>
      <c r="H11" s="10" t="str">
        <f>"社会在职"</f>
        <v>社会在职</v>
      </c>
      <c r="I11" s="10" t="str">
        <f>"湖北民族大学"</f>
        <v>湖北民族大学</v>
      </c>
      <c r="J11" s="10" t="str">
        <f>"民族社会学"</f>
        <v>民族社会学</v>
      </c>
      <c r="K11" s="10" t="str">
        <f t="shared" si="2"/>
        <v>硕士研究生</v>
      </c>
      <c r="L11" s="10" t="str">
        <f t="shared" si="3"/>
        <v>硕士</v>
      </c>
    </row>
    <row r="12" s="4" customFormat="1" ht="40" customHeight="1" spans="1:12">
      <c r="A12" s="9">
        <v>10</v>
      </c>
      <c r="B12" s="10" t="s">
        <v>13</v>
      </c>
      <c r="C12" s="10" t="s">
        <v>51</v>
      </c>
      <c r="D12" s="10" t="str">
        <f t="shared" si="0"/>
        <v>z2024324</v>
      </c>
      <c r="E12" s="10" t="str">
        <f>"唐鑫"</f>
        <v>唐鑫</v>
      </c>
      <c r="F12" s="10" t="str">
        <f t="shared" si="1"/>
        <v>女</v>
      </c>
      <c r="G12" s="10" t="str">
        <f>"1999-04-20"</f>
        <v>1999-04-20</v>
      </c>
      <c r="H12" s="10" t="str">
        <f>"应届"</f>
        <v>应届</v>
      </c>
      <c r="I12" s="10" t="str">
        <f>"安庆师范大学"</f>
        <v>安庆师范大学</v>
      </c>
      <c r="J12" s="10" t="str">
        <f>"学科教学（思政）"</f>
        <v>学科教学（思政）</v>
      </c>
      <c r="K12" s="10" t="str">
        <f t="shared" si="2"/>
        <v>硕士研究生</v>
      </c>
      <c r="L12" s="10" t="str">
        <f t="shared" si="3"/>
        <v>硕士</v>
      </c>
    </row>
    <row r="13" s="3" customFormat="1" ht="40" customHeight="1" spans="1:12">
      <c r="A13" s="8">
        <v>11</v>
      </c>
      <c r="B13" s="8" t="s">
        <v>13</v>
      </c>
      <c r="C13" s="8" t="s">
        <v>52</v>
      </c>
      <c r="D13" s="8" t="s">
        <v>53</v>
      </c>
      <c r="E13" s="8" t="s">
        <v>54</v>
      </c>
      <c r="F13" s="8" t="s">
        <v>17</v>
      </c>
      <c r="G13" s="8" t="s">
        <v>55</v>
      </c>
      <c r="H13" s="8" t="s">
        <v>41</v>
      </c>
      <c r="I13" s="8" t="s">
        <v>56</v>
      </c>
      <c r="J13" s="8" t="s">
        <v>57</v>
      </c>
      <c r="K13" s="8" t="s">
        <v>22</v>
      </c>
      <c r="L13" s="8" t="s">
        <v>23</v>
      </c>
    </row>
    <row r="14" s="3" customFormat="1" ht="40" customHeight="1" spans="1:12">
      <c r="A14" s="8">
        <v>12</v>
      </c>
      <c r="B14" s="8" t="s">
        <v>13</v>
      </c>
      <c r="C14" s="8" t="s">
        <v>52</v>
      </c>
      <c r="D14" s="8" t="s">
        <v>53</v>
      </c>
      <c r="E14" s="8" t="s">
        <v>58</v>
      </c>
      <c r="F14" s="8" t="s">
        <v>17</v>
      </c>
      <c r="G14" s="8" t="s">
        <v>59</v>
      </c>
      <c r="H14" s="8" t="s">
        <v>19</v>
      </c>
      <c r="I14" s="8" t="s">
        <v>60</v>
      </c>
      <c r="J14" s="8" t="s">
        <v>61</v>
      </c>
      <c r="K14" s="8" t="s">
        <v>22</v>
      </c>
      <c r="L14" s="8" t="s">
        <v>23</v>
      </c>
    </row>
    <row r="15" s="3" customFormat="1" ht="40" customHeight="1" spans="1:12">
      <c r="A15" s="8">
        <v>13</v>
      </c>
      <c r="B15" s="8" t="s">
        <v>13</v>
      </c>
      <c r="C15" s="8" t="s">
        <v>62</v>
      </c>
      <c r="D15" s="8" t="s">
        <v>63</v>
      </c>
      <c r="E15" s="8" t="s">
        <v>64</v>
      </c>
      <c r="F15" s="8" t="s">
        <v>17</v>
      </c>
      <c r="G15" s="8" t="s">
        <v>65</v>
      </c>
      <c r="H15" s="8" t="s">
        <v>41</v>
      </c>
      <c r="I15" s="8" t="s">
        <v>66</v>
      </c>
      <c r="J15" s="8" t="s">
        <v>67</v>
      </c>
      <c r="K15" s="8" t="s">
        <v>22</v>
      </c>
      <c r="L15" s="8" t="s">
        <v>23</v>
      </c>
    </row>
    <row r="16" s="3" customFormat="1" ht="40" customHeight="1" spans="1:12">
      <c r="A16" s="8">
        <v>14</v>
      </c>
      <c r="B16" s="8" t="s">
        <v>13</v>
      </c>
      <c r="C16" s="8" t="s">
        <v>62</v>
      </c>
      <c r="D16" s="8" t="s">
        <v>63</v>
      </c>
      <c r="E16" s="8" t="s">
        <v>68</v>
      </c>
      <c r="F16" s="8" t="s">
        <v>17</v>
      </c>
      <c r="G16" s="8" t="s">
        <v>69</v>
      </c>
      <c r="H16" s="8" t="s">
        <v>19</v>
      </c>
      <c r="I16" s="8" t="s">
        <v>70</v>
      </c>
      <c r="J16" s="8" t="s">
        <v>67</v>
      </c>
      <c r="K16" s="8" t="s">
        <v>22</v>
      </c>
      <c r="L16" s="8" t="s">
        <v>23</v>
      </c>
    </row>
    <row r="17" s="3" customFormat="1" ht="40" customHeight="1" spans="1:12">
      <c r="A17" s="8">
        <v>15</v>
      </c>
      <c r="B17" s="8" t="s">
        <v>13</v>
      </c>
      <c r="C17" s="8" t="s">
        <v>62</v>
      </c>
      <c r="D17" s="8" t="s">
        <v>63</v>
      </c>
      <c r="E17" s="8" t="s">
        <v>71</v>
      </c>
      <c r="F17" s="8" t="s">
        <v>17</v>
      </c>
      <c r="G17" s="8" t="s">
        <v>72</v>
      </c>
      <c r="H17" s="8" t="s">
        <v>41</v>
      </c>
      <c r="I17" s="8" t="s">
        <v>73</v>
      </c>
      <c r="J17" s="8" t="s">
        <v>67</v>
      </c>
      <c r="K17" s="8" t="s">
        <v>22</v>
      </c>
      <c r="L17" s="8" t="s">
        <v>23</v>
      </c>
    </row>
    <row r="18" s="3" customFormat="1" ht="40" customHeight="1" spans="1:12">
      <c r="A18" s="8">
        <v>16</v>
      </c>
      <c r="B18" s="8" t="s">
        <v>13</v>
      </c>
      <c r="C18" s="8" t="s">
        <v>62</v>
      </c>
      <c r="D18" s="8" t="s">
        <v>63</v>
      </c>
      <c r="E18" s="8" t="s">
        <v>74</v>
      </c>
      <c r="F18" s="8" t="s">
        <v>25</v>
      </c>
      <c r="G18" s="8" t="s">
        <v>75</v>
      </c>
      <c r="H18" s="8" t="s">
        <v>41</v>
      </c>
      <c r="I18" s="8" t="s">
        <v>76</v>
      </c>
      <c r="J18" s="8" t="s">
        <v>77</v>
      </c>
      <c r="K18" s="8" t="s">
        <v>22</v>
      </c>
      <c r="L18" s="8" t="s">
        <v>23</v>
      </c>
    </row>
    <row r="19" s="3" customFormat="1" ht="40" customHeight="1" spans="1:12">
      <c r="A19" s="8">
        <v>17</v>
      </c>
      <c r="B19" s="8" t="s">
        <v>13</v>
      </c>
      <c r="C19" s="8" t="s">
        <v>62</v>
      </c>
      <c r="D19" s="8" t="s">
        <v>63</v>
      </c>
      <c r="E19" s="8" t="s">
        <v>78</v>
      </c>
      <c r="F19" s="8" t="s">
        <v>17</v>
      </c>
      <c r="G19" s="8" t="s">
        <v>79</v>
      </c>
      <c r="H19" s="8" t="s">
        <v>19</v>
      </c>
      <c r="I19" s="8" t="s">
        <v>80</v>
      </c>
      <c r="J19" s="8" t="s">
        <v>77</v>
      </c>
      <c r="K19" s="8" t="s">
        <v>22</v>
      </c>
      <c r="L19" s="8" t="s">
        <v>23</v>
      </c>
    </row>
    <row r="20" s="3" customFormat="1" ht="40" customHeight="1" spans="1:12">
      <c r="A20" s="8">
        <v>18</v>
      </c>
      <c r="B20" s="8" t="s">
        <v>13</v>
      </c>
      <c r="C20" s="8" t="s">
        <v>62</v>
      </c>
      <c r="D20" s="8" t="s">
        <v>63</v>
      </c>
      <c r="E20" s="8" t="s">
        <v>81</v>
      </c>
      <c r="F20" s="8" t="s">
        <v>17</v>
      </c>
      <c r="G20" s="8" t="s">
        <v>82</v>
      </c>
      <c r="H20" s="8" t="s">
        <v>19</v>
      </c>
      <c r="I20" s="8" t="s">
        <v>83</v>
      </c>
      <c r="J20" s="8" t="s">
        <v>67</v>
      </c>
      <c r="K20" s="8" t="s">
        <v>22</v>
      </c>
      <c r="L20" s="8" t="s">
        <v>23</v>
      </c>
    </row>
    <row r="21" s="3" customFormat="1" ht="40" customHeight="1" spans="1:12">
      <c r="A21" s="8">
        <v>19</v>
      </c>
      <c r="B21" s="8" t="s">
        <v>13</v>
      </c>
      <c r="C21" s="8" t="s">
        <v>62</v>
      </c>
      <c r="D21" s="8" t="s">
        <v>63</v>
      </c>
      <c r="E21" s="8" t="s">
        <v>84</v>
      </c>
      <c r="F21" s="8" t="s">
        <v>17</v>
      </c>
      <c r="G21" s="8" t="s">
        <v>85</v>
      </c>
      <c r="H21" s="8" t="s">
        <v>41</v>
      </c>
      <c r="I21" s="8" t="s">
        <v>86</v>
      </c>
      <c r="J21" s="8" t="s">
        <v>77</v>
      </c>
      <c r="K21" s="8" t="s">
        <v>22</v>
      </c>
      <c r="L21" s="8" t="s">
        <v>23</v>
      </c>
    </row>
    <row r="22" s="3" customFormat="1" ht="40" customHeight="1" spans="1:12">
      <c r="A22" s="8">
        <v>20</v>
      </c>
      <c r="B22" s="8" t="s">
        <v>13</v>
      </c>
      <c r="C22" s="8" t="s">
        <v>62</v>
      </c>
      <c r="D22" s="8" t="s">
        <v>63</v>
      </c>
      <c r="E22" s="8" t="s">
        <v>87</v>
      </c>
      <c r="F22" s="8" t="s">
        <v>17</v>
      </c>
      <c r="G22" s="8" t="s">
        <v>88</v>
      </c>
      <c r="H22" s="8" t="s">
        <v>19</v>
      </c>
      <c r="I22" s="8" t="s">
        <v>89</v>
      </c>
      <c r="J22" s="8" t="s">
        <v>77</v>
      </c>
      <c r="K22" s="8" t="s">
        <v>22</v>
      </c>
      <c r="L22" s="8" t="s">
        <v>23</v>
      </c>
    </row>
    <row r="23" s="3" customFormat="1" ht="40" customHeight="1" spans="1:12">
      <c r="A23" s="8">
        <v>21</v>
      </c>
      <c r="B23" s="8" t="s">
        <v>13</v>
      </c>
      <c r="C23" s="8" t="s">
        <v>62</v>
      </c>
      <c r="D23" s="8" t="s">
        <v>63</v>
      </c>
      <c r="E23" s="8" t="s">
        <v>90</v>
      </c>
      <c r="F23" s="8" t="s">
        <v>17</v>
      </c>
      <c r="G23" s="8" t="s">
        <v>91</v>
      </c>
      <c r="H23" s="8" t="s">
        <v>41</v>
      </c>
      <c r="I23" s="8" t="s">
        <v>92</v>
      </c>
      <c r="J23" s="8" t="s">
        <v>77</v>
      </c>
      <c r="K23" s="8" t="s">
        <v>22</v>
      </c>
      <c r="L23" s="8" t="s">
        <v>23</v>
      </c>
    </row>
    <row r="24" s="3" customFormat="1" ht="40" customHeight="1" spans="1:12">
      <c r="A24" s="8">
        <v>22</v>
      </c>
      <c r="B24" s="8" t="s">
        <v>13</v>
      </c>
      <c r="C24" s="8" t="s">
        <v>62</v>
      </c>
      <c r="D24" s="8" t="s">
        <v>63</v>
      </c>
      <c r="E24" s="8" t="s">
        <v>93</v>
      </c>
      <c r="F24" s="8" t="s">
        <v>17</v>
      </c>
      <c r="G24" s="8" t="s">
        <v>94</v>
      </c>
      <c r="H24" s="8" t="s">
        <v>19</v>
      </c>
      <c r="I24" s="8" t="s">
        <v>95</v>
      </c>
      <c r="J24" s="8" t="s">
        <v>67</v>
      </c>
      <c r="K24" s="8" t="s">
        <v>22</v>
      </c>
      <c r="L24" s="8" t="s">
        <v>23</v>
      </c>
    </row>
    <row r="25" s="3" customFormat="1" ht="40" customHeight="1" spans="1:12">
      <c r="A25" s="8">
        <v>23</v>
      </c>
      <c r="B25" s="8" t="s">
        <v>13</v>
      </c>
      <c r="C25" s="8" t="s">
        <v>62</v>
      </c>
      <c r="D25" s="8" t="s">
        <v>63</v>
      </c>
      <c r="E25" s="8" t="s">
        <v>96</v>
      </c>
      <c r="F25" s="8" t="s">
        <v>17</v>
      </c>
      <c r="G25" s="8" t="s">
        <v>97</v>
      </c>
      <c r="H25" s="8" t="s">
        <v>19</v>
      </c>
      <c r="I25" s="8" t="s">
        <v>98</v>
      </c>
      <c r="J25" s="8" t="s">
        <v>77</v>
      </c>
      <c r="K25" s="8" t="s">
        <v>22</v>
      </c>
      <c r="L25" s="8" t="s">
        <v>23</v>
      </c>
    </row>
    <row r="26" s="3" customFormat="1" ht="40" customHeight="1" spans="1:12">
      <c r="A26" s="8">
        <v>24</v>
      </c>
      <c r="B26" s="8" t="s">
        <v>13</v>
      </c>
      <c r="C26" s="8" t="s">
        <v>62</v>
      </c>
      <c r="D26" s="8" t="s">
        <v>63</v>
      </c>
      <c r="E26" s="8" t="s">
        <v>99</v>
      </c>
      <c r="F26" s="8" t="s">
        <v>17</v>
      </c>
      <c r="G26" s="8" t="s">
        <v>100</v>
      </c>
      <c r="H26" s="8" t="s">
        <v>19</v>
      </c>
      <c r="I26" s="8" t="s">
        <v>101</v>
      </c>
      <c r="J26" s="8" t="s">
        <v>102</v>
      </c>
      <c r="K26" s="8" t="s">
        <v>22</v>
      </c>
      <c r="L26" s="8" t="s">
        <v>23</v>
      </c>
    </row>
    <row r="27" s="3" customFormat="1" ht="40" customHeight="1" spans="1:12">
      <c r="A27" s="8">
        <v>25</v>
      </c>
      <c r="B27" s="8" t="s">
        <v>13</v>
      </c>
      <c r="C27" s="8" t="s">
        <v>62</v>
      </c>
      <c r="D27" s="8" t="s">
        <v>63</v>
      </c>
      <c r="E27" s="8" t="s">
        <v>103</v>
      </c>
      <c r="F27" s="8" t="s">
        <v>17</v>
      </c>
      <c r="G27" s="8" t="s">
        <v>104</v>
      </c>
      <c r="H27" s="8" t="s">
        <v>41</v>
      </c>
      <c r="I27" s="8" t="s">
        <v>105</v>
      </c>
      <c r="J27" s="8" t="s">
        <v>77</v>
      </c>
      <c r="K27" s="8" t="s">
        <v>22</v>
      </c>
      <c r="L27" s="8" t="s">
        <v>23</v>
      </c>
    </row>
    <row r="28" s="3" customFormat="1" ht="40" customHeight="1" spans="1:12">
      <c r="A28" s="8">
        <v>26</v>
      </c>
      <c r="B28" s="8" t="s">
        <v>106</v>
      </c>
      <c r="C28" s="8" t="s">
        <v>107</v>
      </c>
      <c r="D28" s="8" t="s">
        <v>108</v>
      </c>
      <c r="E28" s="8" t="s">
        <v>109</v>
      </c>
      <c r="F28" s="8" t="s">
        <v>17</v>
      </c>
      <c r="G28" s="8" t="s">
        <v>110</v>
      </c>
      <c r="H28" s="8" t="s">
        <v>19</v>
      </c>
      <c r="I28" s="8" t="s">
        <v>20</v>
      </c>
      <c r="J28" s="8" t="s">
        <v>111</v>
      </c>
      <c r="K28" s="8" t="s">
        <v>22</v>
      </c>
      <c r="L28" s="8" t="s">
        <v>23</v>
      </c>
    </row>
    <row r="29" s="3" customFormat="1" ht="40" customHeight="1" spans="1:12">
      <c r="A29" s="8">
        <v>27</v>
      </c>
      <c r="B29" s="8" t="s">
        <v>106</v>
      </c>
      <c r="C29" s="8" t="s">
        <v>107</v>
      </c>
      <c r="D29" s="8" t="s">
        <v>108</v>
      </c>
      <c r="E29" s="8" t="s">
        <v>112</v>
      </c>
      <c r="F29" s="8" t="s">
        <v>17</v>
      </c>
      <c r="G29" s="8" t="s">
        <v>113</v>
      </c>
      <c r="H29" s="8" t="s">
        <v>19</v>
      </c>
      <c r="I29" s="8" t="s">
        <v>114</v>
      </c>
      <c r="J29" s="8" t="s">
        <v>115</v>
      </c>
      <c r="K29" s="8" t="s">
        <v>22</v>
      </c>
      <c r="L29" s="8" t="s">
        <v>23</v>
      </c>
    </row>
    <row r="30" s="3" customFormat="1" ht="40" customHeight="1" spans="1:12">
      <c r="A30" s="8">
        <v>28</v>
      </c>
      <c r="B30" s="8" t="s">
        <v>106</v>
      </c>
      <c r="C30" s="8" t="s">
        <v>107</v>
      </c>
      <c r="D30" s="8" t="s">
        <v>108</v>
      </c>
      <c r="E30" s="8" t="s">
        <v>116</v>
      </c>
      <c r="F30" s="8" t="s">
        <v>17</v>
      </c>
      <c r="G30" s="8" t="s">
        <v>117</v>
      </c>
      <c r="H30" s="8" t="s">
        <v>19</v>
      </c>
      <c r="I30" s="8" t="s">
        <v>118</v>
      </c>
      <c r="J30" s="8" t="s">
        <v>111</v>
      </c>
      <c r="K30" s="8" t="s">
        <v>22</v>
      </c>
      <c r="L30" s="8" t="s">
        <v>23</v>
      </c>
    </row>
    <row r="31" s="3" customFormat="1" ht="40" customHeight="1" spans="1:12">
      <c r="A31" s="8">
        <v>29</v>
      </c>
      <c r="B31" s="8" t="s">
        <v>106</v>
      </c>
      <c r="C31" s="8" t="s">
        <v>107</v>
      </c>
      <c r="D31" s="8" t="s">
        <v>108</v>
      </c>
      <c r="E31" s="8" t="s">
        <v>119</v>
      </c>
      <c r="F31" s="8" t="s">
        <v>17</v>
      </c>
      <c r="G31" s="8" t="s">
        <v>120</v>
      </c>
      <c r="H31" s="8" t="s">
        <v>19</v>
      </c>
      <c r="I31" s="8" t="s">
        <v>70</v>
      </c>
      <c r="J31" s="8" t="s">
        <v>111</v>
      </c>
      <c r="K31" s="8" t="s">
        <v>22</v>
      </c>
      <c r="L31" s="8" t="s">
        <v>23</v>
      </c>
    </row>
    <row r="32" s="3" customFormat="1" ht="40" customHeight="1" spans="1:12">
      <c r="A32" s="8">
        <v>30</v>
      </c>
      <c r="B32" s="8" t="s">
        <v>106</v>
      </c>
      <c r="C32" s="8" t="s">
        <v>107</v>
      </c>
      <c r="D32" s="8" t="s">
        <v>108</v>
      </c>
      <c r="E32" s="8" t="s">
        <v>121</v>
      </c>
      <c r="F32" s="8" t="s">
        <v>25</v>
      </c>
      <c r="G32" s="8" t="s">
        <v>122</v>
      </c>
      <c r="H32" s="8" t="s">
        <v>41</v>
      </c>
      <c r="I32" s="8" t="s">
        <v>123</v>
      </c>
      <c r="J32" s="8" t="s">
        <v>124</v>
      </c>
      <c r="K32" s="8" t="s">
        <v>22</v>
      </c>
      <c r="L32" s="8" t="s">
        <v>23</v>
      </c>
    </row>
    <row r="33" s="3" customFormat="1" ht="40" customHeight="1" spans="1:12">
      <c r="A33" s="8">
        <v>31</v>
      </c>
      <c r="B33" s="8" t="s">
        <v>106</v>
      </c>
      <c r="C33" s="8" t="s">
        <v>107</v>
      </c>
      <c r="D33" s="8" t="s">
        <v>108</v>
      </c>
      <c r="E33" s="8" t="s">
        <v>125</v>
      </c>
      <c r="F33" s="8" t="s">
        <v>17</v>
      </c>
      <c r="G33" s="8" t="s">
        <v>126</v>
      </c>
      <c r="H33" s="8" t="s">
        <v>19</v>
      </c>
      <c r="I33" s="8" t="s">
        <v>127</v>
      </c>
      <c r="J33" s="8" t="s">
        <v>128</v>
      </c>
      <c r="K33" s="8" t="s">
        <v>22</v>
      </c>
      <c r="L33" s="8" t="s">
        <v>23</v>
      </c>
    </row>
    <row r="34" s="3" customFormat="1" ht="40" customHeight="1" spans="1:12">
      <c r="A34" s="8">
        <v>32</v>
      </c>
      <c r="B34" s="8" t="s">
        <v>106</v>
      </c>
      <c r="C34" s="8" t="s">
        <v>107</v>
      </c>
      <c r="D34" s="8" t="s">
        <v>108</v>
      </c>
      <c r="E34" s="8" t="s">
        <v>129</v>
      </c>
      <c r="F34" s="8" t="s">
        <v>17</v>
      </c>
      <c r="G34" s="8" t="s">
        <v>130</v>
      </c>
      <c r="H34" s="8" t="s">
        <v>41</v>
      </c>
      <c r="I34" s="8" t="s">
        <v>131</v>
      </c>
      <c r="J34" s="8" t="s">
        <v>111</v>
      </c>
      <c r="K34" s="8" t="s">
        <v>22</v>
      </c>
      <c r="L34" s="8" t="s">
        <v>23</v>
      </c>
    </row>
    <row r="35" s="3" customFormat="1" ht="40" customHeight="1" spans="1:12">
      <c r="A35" s="8">
        <v>33</v>
      </c>
      <c r="B35" s="8" t="s">
        <v>106</v>
      </c>
      <c r="C35" s="8" t="s">
        <v>107</v>
      </c>
      <c r="D35" s="8" t="s">
        <v>108</v>
      </c>
      <c r="E35" s="8" t="s">
        <v>132</v>
      </c>
      <c r="F35" s="8" t="s">
        <v>17</v>
      </c>
      <c r="G35" s="8" t="s">
        <v>133</v>
      </c>
      <c r="H35" s="8" t="s">
        <v>41</v>
      </c>
      <c r="I35" s="8" t="s">
        <v>131</v>
      </c>
      <c r="J35" s="8" t="s">
        <v>111</v>
      </c>
      <c r="K35" s="8" t="s">
        <v>22</v>
      </c>
      <c r="L35" s="8" t="s">
        <v>23</v>
      </c>
    </row>
    <row r="36" s="3" customFormat="1" ht="40" customHeight="1" spans="1:12">
      <c r="A36" s="8">
        <v>34</v>
      </c>
      <c r="B36" s="8" t="s">
        <v>106</v>
      </c>
      <c r="C36" s="8" t="s">
        <v>107</v>
      </c>
      <c r="D36" s="8" t="s">
        <v>108</v>
      </c>
      <c r="E36" s="8" t="s">
        <v>134</v>
      </c>
      <c r="F36" s="8" t="s">
        <v>17</v>
      </c>
      <c r="G36" s="8" t="s">
        <v>135</v>
      </c>
      <c r="H36" s="8" t="s">
        <v>41</v>
      </c>
      <c r="I36" s="8" t="s">
        <v>136</v>
      </c>
      <c r="J36" s="8" t="s">
        <v>111</v>
      </c>
      <c r="K36" s="8" t="s">
        <v>22</v>
      </c>
      <c r="L36" s="8" t="s">
        <v>23</v>
      </c>
    </row>
    <row r="37" s="3" customFormat="1" ht="40" customHeight="1" spans="1:12">
      <c r="A37" s="8">
        <v>35</v>
      </c>
      <c r="B37" s="8" t="s">
        <v>106</v>
      </c>
      <c r="C37" s="8" t="s">
        <v>107</v>
      </c>
      <c r="D37" s="8" t="s">
        <v>108</v>
      </c>
      <c r="E37" s="8" t="s">
        <v>137</v>
      </c>
      <c r="F37" s="8" t="s">
        <v>17</v>
      </c>
      <c r="G37" s="8" t="s">
        <v>138</v>
      </c>
      <c r="H37" s="8" t="s">
        <v>41</v>
      </c>
      <c r="I37" s="8" t="s">
        <v>139</v>
      </c>
      <c r="J37" s="8" t="s">
        <v>128</v>
      </c>
      <c r="K37" s="8" t="s">
        <v>22</v>
      </c>
      <c r="L37" s="8" t="s">
        <v>23</v>
      </c>
    </row>
    <row r="38" s="3" customFormat="1" ht="40" customHeight="1" spans="1:12">
      <c r="A38" s="8">
        <v>36</v>
      </c>
      <c r="B38" s="8" t="s">
        <v>106</v>
      </c>
      <c r="C38" s="8" t="s">
        <v>107</v>
      </c>
      <c r="D38" s="8" t="s">
        <v>108</v>
      </c>
      <c r="E38" s="8" t="s">
        <v>140</v>
      </c>
      <c r="F38" s="8" t="s">
        <v>17</v>
      </c>
      <c r="G38" s="8" t="s">
        <v>141</v>
      </c>
      <c r="H38" s="8" t="s">
        <v>41</v>
      </c>
      <c r="I38" s="8" t="s">
        <v>142</v>
      </c>
      <c r="J38" s="8" t="s">
        <v>128</v>
      </c>
      <c r="K38" s="8" t="s">
        <v>22</v>
      </c>
      <c r="L38" s="8" t="s">
        <v>23</v>
      </c>
    </row>
    <row r="39" s="3" customFormat="1" ht="40" customHeight="1" spans="1:12">
      <c r="A39" s="8">
        <v>37</v>
      </c>
      <c r="B39" s="8" t="s">
        <v>106</v>
      </c>
      <c r="C39" s="8" t="s">
        <v>107</v>
      </c>
      <c r="D39" s="8" t="s">
        <v>108</v>
      </c>
      <c r="E39" s="8" t="s">
        <v>143</v>
      </c>
      <c r="F39" s="8" t="s">
        <v>17</v>
      </c>
      <c r="G39" s="8" t="s">
        <v>144</v>
      </c>
      <c r="H39" s="8" t="s">
        <v>41</v>
      </c>
      <c r="I39" s="8" t="s">
        <v>145</v>
      </c>
      <c r="J39" s="8" t="s">
        <v>128</v>
      </c>
      <c r="K39" s="8" t="s">
        <v>22</v>
      </c>
      <c r="L39" s="8" t="s">
        <v>23</v>
      </c>
    </row>
    <row r="40" s="3" customFormat="1" ht="40" customHeight="1" spans="1:12">
      <c r="A40" s="8">
        <v>38</v>
      </c>
      <c r="B40" s="8" t="s">
        <v>106</v>
      </c>
      <c r="C40" s="8" t="s">
        <v>107</v>
      </c>
      <c r="D40" s="8" t="s">
        <v>108</v>
      </c>
      <c r="E40" s="8" t="s">
        <v>146</v>
      </c>
      <c r="F40" s="8" t="s">
        <v>17</v>
      </c>
      <c r="G40" s="8" t="s">
        <v>147</v>
      </c>
      <c r="H40" s="8" t="s">
        <v>19</v>
      </c>
      <c r="I40" s="8" t="s">
        <v>148</v>
      </c>
      <c r="J40" s="8" t="s">
        <v>149</v>
      </c>
      <c r="K40" s="8" t="s">
        <v>22</v>
      </c>
      <c r="L40" s="8" t="s">
        <v>23</v>
      </c>
    </row>
    <row r="41" s="3" customFormat="1" ht="40" customHeight="1" spans="1:12">
      <c r="A41" s="8">
        <v>39</v>
      </c>
      <c r="B41" s="8" t="s">
        <v>106</v>
      </c>
      <c r="C41" s="8" t="s">
        <v>107</v>
      </c>
      <c r="D41" s="8" t="s">
        <v>108</v>
      </c>
      <c r="E41" s="8" t="s">
        <v>150</v>
      </c>
      <c r="F41" s="8" t="s">
        <v>17</v>
      </c>
      <c r="G41" s="8" t="s">
        <v>151</v>
      </c>
      <c r="H41" s="8" t="s">
        <v>19</v>
      </c>
      <c r="I41" s="8" t="s">
        <v>152</v>
      </c>
      <c r="J41" s="8" t="s">
        <v>111</v>
      </c>
      <c r="K41" s="8" t="s">
        <v>22</v>
      </c>
      <c r="L41" s="8" t="s">
        <v>23</v>
      </c>
    </row>
    <row r="42" s="3" customFormat="1" ht="40" customHeight="1" spans="1:12">
      <c r="A42" s="8">
        <v>40</v>
      </c>
      <c r="B42" s="8" t="s">
        <v>106</v>
      </c>
      <c r="C42" s="8" t="s">
        <v>107</v>
      </c>
      <c r="D42" s="8" t="s">
        <v>108</v>
      </c>
      <c r="E42" s="8" t="s">
        <v>153</v>
      </c>
      <c r="F42" s="8" t="s">
        <v>17</v>
      </c>
      <c r="G42" s="8" t="s">
        <v>154</v>
      </c>
      <c r="H42" s="8" t="s">
        <v>19</v>
      </c>
      <c r="I42" s="8" t="s">
        <v>155</v>
      </c>
      <c r="J42" s="8" t="s">
        <v>111</v>
      </c>
      <c r="K42" s="8" t="s">
        <v>22</v>
      </c>
      <c r="L42" s="8" t="s">
        <v>23</v>
      </c>
    </row>
    <row r="43" s="3" customFormat="1" ht="40" customHeight="1" spans="1:12">
      <c r="A43" s="8">
        <v>41</v>
      </c>
      <c r="B43" s="8" t="s">
        <v>106</v>
      </c>
      <c r="C43" s="8" t="s">
        <v>107</v>
      </c>
      <c r="D43" s="8" t="str">
        <f t="shared" ref="D43:D57" si="4">"z2024328"</f>
        <v>z2024328</v>
      </c>
      <c r="E43" s="8" t="str">
        <f>"张亚玲"</f>
        <v>张亚玲</v>
      </c>
      <c r="F43" s="8" t="str">
        <f t="shared" ref="F43:F57" si="5">"女"</f>
        <v>女</v>
      </c>
      <c r="G43" s="8" t="str">
        <f>"1996-04-13"</f>
        <v>1996-04-13</v>
      </c>
      <c r="H43" s="8" t="str">
        <f t="shared" ref="H43:H57" si="6">"社会在职"</f>
        <v>社会在职</v>
      </c>
      <c r="I43" s="8" t="str">
        <f>"海南师范大学"</f>
        <v>海南师范大学</v>
      </c>
      <c r="J43" s="8" t="str">
        <f t="shared" ref="J43:J46" si="7">"汉语言文学"</f>
        <v>汉语言文学</v>
      </c>
      <c r="K43" s="8" t="str">
        <f t="shared" ref="K43:K57" si="8">"本科"</f>
        <v>本科</v>
      </c>
      <c r="L43" s="8" t="str">
        <f t="shared" ref="L43:L57" si="9">"学士"</f>
        <v>学士</v>
      </c>
    </row>
    <row r="44" s="3" customFormat="1" ht="40" customHeight="1" spans="1:12">
      <c r="A44" s="8">
        <v>42</v>
      </c>
      <c r="B44" s="8" t="s">
        <v>106</v>
      </c>
      <c r="C44" s="8" t="s">
        <v>107</v>
      </c>
      <c r="D44" s="8" t="str">
        <f t="shared" si="4"/>
        <v>z2024328</v>
      </c>
      <c r="E44" s="8" t="str">
        <f>"刘圆媛"</f>
        <v>刘圆媛</v>
      </c>
      <c r="F44" s="8" t="str">
        <f t="shared" si="5"/>
        <v>女</v>
      </c>
      <c r="G44" s="8" t="str">
        <f>"1995-01-03"</f>
        <v>1995-01-03</v>
      </c>
      <c r="H44" s="8" t="str">
        <f t="shared" si="6"/>
        <v>社会在职</v>
      </c>
      <c r="I44" s="8" t="str">
        <f>"怀化学院"</f>
        <v>怀化学院</v>
      </c>
      <c r="J44" s="8" t="str">
        <f t="shared" si="7"/>
        <v>汉语言文学</v>
      </c>
      <c r="K44" s="8" t="str">
        <f t="shared" si="8"/>
        <v>本科</v>
      </c>
      <c r="L44" s="8" t="str">
        <f t="shared" si="9"/>
        <v>学士</v>
      </c>
    </row>
    <row r="45" s="3" customFormat="1" ht="40" customHeight="1" spans="1:12">
      <c r="A45" s="8">
        <v>43</v>
      </c>
      <c r="B45" s="8" t="s">
        <v>106</v>
      </c>
      <c r="C45" s="8" t="s">
        <v>107</v>
      </c>
      <c r="D45" s="8" t="str">
        <f t="shared" si="4"/>
        <v>z2024328</v>
      </c>
      <c r="E45" s="8" t="str">
        <f>"肖盼"</f>
        <v>肖盼</v>
      </c>
      <c r="F45" s="8" t="str">
        <f t="shared" si="5"/>
        <v>女</v>
      </c>
      <c r="G45" s="8" t="str">
        <f>"1997-07-09"</f>
        <v>1997-07-09</v>
      </c>
      <c r="H45" s="8" t="str">
        <f t="shared" si="6"/>
        <v>社会在职</v>
      </c>
      <c r="I45" s="8" t="str">
        <f>"延安大学"</f>
        <v>延安大学</v>
      </c>
      <c r="J45" s="8" t="str">
        <f t="shared" si="7"/>
        <v>汉语言文学</v>
      </c>
      <c r="K45" s="8" t="str">
        <f t="shared" si="8"/>
        <v>本科</v>
      </c>
      <c r="L45" s="8" t="str">
        <f t="shared" si="9"/>
        <v>学士</v>
      </c>
    </row>
    <row r="46" s="3" customFormat="1" ht="40" customHeight="1" spans="1:12">
      <c r="A46" s="8">
        <v>44</v>
      </c>
      <c r="B46" s="8" t="s">
        <v>106</v>
      </c>
      <c r="C46" s="8" t="s">
        <v>107</v>
      </c>
      <c r="D46" s="8" t="str">
        <f t="shared" si="4"/>
        <v>z2024328</v>
      </c>
      <c r="E46" s="8" t="str">
        <f>"黄咸"</f>
        <v>黄咸</v>
      </c>
      <c r="F46" s="8" t="str">
        <f t="shared" si="5"/>
        <v>女</v>
      </c>
      <c r="G46" s="8" t="str">
        <f>"1995-11-21"</f>
        <v>1995-11-21</v>
      </c>
      <c r="H46" s="8" t="str">
        <f t="shared" si="6"/>
        <v>社会在职</v>
      </c>
      <c r="I46" s="8" t="str">
        <f>"湖北民族大学"</f>
        <v>湖北民族大学</v>
      </c>
      <c r="J46" s="8" t="str">
        <f t="shared" si="7"/>
        <v>汉语言文学</v>
      </c>
      <c r="K46" s="8" t="str">
        <f t="shared" si="8"/>
        <v>本科</v>
      </c>
      <c r="L46" s="8" t="str">
        <f t="shared" si="9"/>
        <v>学士</v>
      </c>
    </row>
    <row r="47" s="3" customFormat="1" ht="40" customHeight="1" spans="1:12">
      <c r="A47" s="8">
        <v>45</v>
      </c>
      <c r="B47" s="8" t="s">
        <v>106</v>
      </c>
      <c r="C47" s="8" t="s">
        <v>107</v>
      </c>
      <c r="D47" s="8" t="str">
        <f t="shared" si="4"/>
        <v>z2024328</v>
      </c>
      <c r="E47" s="8" t="str">
        <f>"李瑶"</f>
        <v>李瑶</v>
      </c>
      <c r="F47" s="8" t="str">
        <f t="shared" si="5"/>
        <v>女</v>
      </c>
      <c r="G47" s="8" t="str">
        <f>"1996-09-11"</f>
        <v>1996-09-11</v>
      </c>
      <c r="H47" s="8" t="str">
        <f t="shared" si="6"/>
        <v>社会在职</v>
      </c>
      <c r="I47" s="8" t="str">
        <f>"湖北大学"</f>
        <v>湖北大学</v>
      </c>
      <c r="J47" s="8" t="str">
        <f>"教育学 汉语言文学"</f>
        <v>教育学 汉语言文学</v>
      </c>
      <c r="K47" s="8" t="str">
        <f t="shared" si="8"/>
        <v>本科</v>
      </c>
      <c r="L47" s="8" t="str">
        <f t="shared" si="9"/>
        <v>学士</v>
      </c>
    </row>
    <row r="48" s="3" customFormat="1" ht="40" customHeight="1" spans="1:12">
      <c r="A48" s="8">
        <v>46</v>
      </c>
      <c r="B48" s="8" t="s">
        <v>106</v>
      </c>
      <c r="C48" s="8" t="s">
        <v>107</v>
      </c>
      <c r="D48" s="8" t="str">
        <f t="shared" si="4"/>
        <v>z2024328</v>
      </c>
      <c r="E48" s="8" t="str">
        <f>"兰琴"</f>
        <v>兰琴</v>
      </c>
      <c r="F48" s="8" t="str">
        <f t="shared" si="5"/>
        <v>女</v>
      </c>
      <c r="G48" s="8" t="str">
        <f>"1996-11-23"</f>
        <v>1996-11-23</v>
      </c>
      <c r="H48" s="8" t="str">
        <f t="shared" si="6"/>
        <v>社会在职</v>
      </c>
      <c r="I48" s="8" t="str">
        <f>"济南大学"</f>
        <v>济南大学</v>
      </c>
      <c r="J48" s="8" t="str">
        <f t="shared" ref="J48:J57" si="10">"汉语言文学"</f>
        <v>汉语言文学</v>
      </c>
      <c r="K48" s="8" t="str">
        <f t="shared" si="8"/>
        <v>本科</v>
      </c>
      <c r="L48" s="8" t="str">
        <f t="shared" si="9"/>
        <v>学士</v>
      </c>
    </row>
    <row r="49" s="3" customFormat="1" ht="40" customHeight="1" spans="1:12">
      <c r="A49" s="8">
        <v>47</v>
      </c>
      <c r="B49" s="8" t="s">
        <v>106</v>
      </c>
      <c r="C49" s="8" t="s">
        <v>107</v>
      </c>
      <c r="D49" s="8" t="str">
        <f t="shared" si="4"/>
        <v>z2024328</v>
      </c>
      <c r="E49" s="8" t="str">
        <f>"胡春艳"</f>
        <v>胡春艳</v>
      </c>
      <c r="F49" s="8" t="str">
        <f t="shared" si="5"/>
        <v>女</v>
      </c>
      <c r="G49" s="8" t="str">
        <f>"1996-05-20"</f>
        <v>1996-05-20</v>
      </c>
      <c r="H49" s="8" t="str">
        <f t="shared" si="6"/>
        <v>社会在职</v>
      </c>
      <c r="I49" s="8" t="str">
        <f>"湖北师范大学"</f>
        <v>湖北师范大学</v>
      </c>
      <c r="J49" s="8" t="str">
        <f>"汉语国际教育"</f>
        <v>汉语国际教育</v>
      </c>
      <c r="K49" s="8" t="str">
        <f t="shared" si="8"/>
        <v>本科</v>
      </c>
      <c r="L49" s="8" t="str">
        <f t="shared" si="9"/>
        <v>学士</v>
      </c>
    </row>
    <row r="50" s="3" customFormat="1" ht="40" customHeight="1" spans="1:12">
      <c r="A50" s="8">
        <v>48</v>
      </c>
      <c r="B50" s="8" t="s">
        <v>106</v>
      </c>
      <c r="C50" s="8" t="s">
        <v>107</v>
      </c>
      <c r="D50" s="8" t="str">
        <f t="shared" si="4"/>
        <v>z2024328</v>
      </c>
      <c r="E50" s="8" t="str">
        <f>"朱湖萍"</f>
        <v>朱湖萍</v>
      </c>
      <c r="F50" s="8" t="str">
        <f t="shared" si="5"/>
        <v>女</v>
      </c>
      <c r="G50" s="8" t="str">
        <f>"2002-02-12"</f>
        <v>2002-02-12</v>
      </c>
      <c r="H50" s="8" t="str">
        <f t="shared" si="6"/>
        <v>社会在职</v>
      </c>
      <c r="I50" s="8" t="str">
        <f>"阜阳师范大学信息工程学院"</f>
        <v>阜阳师范大学信息工程学院</v>
      </c>
      <c r="J50" s="8" t="str">
        <f>"汉语言文学（师范类）"</f>
        <v>汉语言文学（师范类）</v>
      </c>
      <c r="K50" s="8" t="str">
        <f t="shared" si="8"/>
        <v>本科</v>
      </c>
      <c r="L50" s="8" t="str">
        <f t="shared" si="9"/>
        <v>学士</v>
      </c>
    </row>
    <row r="51" s="3" customFormat="1" ht="40" customHeight="1" spans="1:12">
      <c r="A51" s="8">
        <v>49</v>
      </c>
      <c r="B51" s="8" t="s">
        <v>106</v>
      </c>
      <c r="C51" s="8" t="s">
        <v>107</v>
      </c>
      <c r="D51" s="8" t="str">
        <f t="shared" si="4"/>
        <v>z2024328</v>
      </c>
      <c r="E51" s="8" t="str">
        <f>"郑晴"</f>
        <v>郑晴</v>
      </c>
      <c r="F51" s="8" t="str">
        <f t="shared" si="5"/>
        <v>女</v>
      </c>
      <c r="G51" s="8" t="str">
        <f>"1991-08-10"</f>
        <v>1991-08-10</v>
      </c>
      <c r="H51" s="8" t="str">
        <f t="shared" si="6"/>
        <v>社会在职</v>
      </c>
      <c r="I51" s="8" t="str">
        <f>"湖北民族学院科技学院"</f>
        <v>湖北民族学院科技学院</v>
      </c>
      <c r="J51" s="8" t="str">
        <f t="shared" si="10"/>
        <v>汉语言文学</v>
      </c>
      <c r="K51" s="8" t="str">
        <f t="shared" si="8"/>
        <v>本科</v>
      </c>
      <c r="L51" s="8" t="str">
        <f t="shared" si="9"/>
        <v>学士</v>
      </c>
    </row>
    <row r="52" s="3" customFormat="1" ht="40" customHeight="1" spans="1:12">
      <c r="A52" s="8">
        <v>50</v>
      </c>
      <c r="B52" s="8" t="s">
        <v>106</v>
      </c>
      <c r="C52" s="8" t="s">
        <v>107</v>
      </c>
      <c r="D52" s="8" t="str">
        <f t="shared" si="4"/>
        <v>z2024328</v>
      </c>
      <c r="E52" s="8" t="str">
        <f>"吕青"</f>
        <v>吕青</v>
      </c>
      <c r="F52" s="8" t="str">
        <f t="shared" si="5"/>
        <v>女</v>
      </c>
      <c r="G52" s="8" t="str">
        <f>"1998-04-14"</f>
        <v>1998-04-14</v>
      </c>
      <c r="H52" s="8" t="str">
        <f t="shared" si="6"/>
        <v>社会在职</v>
      </c>
      <c r="I52" s="8" t="str">
        <f>"湖南师范大学"</f>
        <v>湖南师范大学</v>
      </c>
      <c r="J52" s="8" t="str">
        <f t="shared" si="10"/>
        <v>汉语言文学</v>
      </c>
      <c r="K52" s="8" t="str">
        <f t="shared" si="8"/>
        <v>本科</v>
      </c>
      <c r="L52" s="8" t="str">
        <f t="shared" si="9"/>
        <v>学士</v>
      </c>
    </row>
    <row r="53" s="3" customFormat="1" ht="40" customHeight="1" spans="1:12">
      <c r="A53" s="8">
        <v>51</v>
      </c>
      <c r="B53" s="8" t="s">
        <v>106</v>
      </c>
      <c r="C53" s="8" t="s">
        <v>107</v>
      </c>
      <c r="D53" s="8" t="str">
        <f t="shared" si="4"/>
        <v>z2024328</v>
      </c>
      <c r="E53" s="8" t="str">
        <f>"李静"</f>
        <v>李静</v>
      </c>
      <c r="F53" s="8" t="str">
        <f t="shared" si="5"/>
        <v>女</v>
      </c>
      <c r="G53" s="8" t="str">
        <f>"1996-10-18"</f>
        <v>1996-10-18</v>
      </c>
      <c r="H53" s="8" t="str">
        <f t="shared" si="6"/>
        <v>社会在职</v>
      </c>
      <c r="I53" s="8" t="str">
        <f>"湖北民族大学"</f>
        <v>湖北民族大学</v>
      </c>
      <c r="J53" s="8" t="str">
        <f t="shared" si="10"/>
        <v>汉语言文学</v>
      </c>
      <c r="K53" s="8" t="str">
        <f t="shared" si="8"/>
        <v>本科</v>
      </c>
      <c r="L53" s="8" t="str">
        <f t="shared" si="9"/>
        <v>学士</v>
      </c>
    </row>
    <row r="54" s="3" customFormat="1" ht="40" customHeight="1" spans="1:12">
      <c r="A54" s="8">
        <v>52</v>
      </c>
      <c r="B54" s="8" t="s">
        <v>106</v>
      </c>
      <c r="C54" s="8" t="s">
        <v>107</v>
      </c>
      <c r="D54" s="8" t="str">
        <f t="shared" si="4"/>
        <v>z2024328</v>
      </c>
      <c r="E54" s="8" t="str">
        <f>"熊佳玉"</f>
        <v>熊佳玉</v>
      </c>
      <c r="F54" s="8" t="str">
        <f t="shared" si="5"/>
        <v>女</v>
      </c>
      <c r="G54" s="8" t="str">
        <f>"1996-09-10"</f>
        <v>1996-09-10</v>
      </c>
      <c r="H54" s="8" t="str">
        <f t="shared" si="6"/>
        <v>社会在职</v>
      </c>
      <c r="I54" s="8" t="str">
        <f>"文华学院"</f>
        <v>文华学院</v>
      </c>
      <c r="J54" s="8" t="str">
        <f t="shared" si="10"/>
        <v>汉语言文学</v>
      </c>
      <c r="K54" s="8" t="str">
        <f t="shared" si="8"/>
        <v>本科</v>
      </c>
      <c r="L54" s="8" t="str">
        <f t="shared" si="9"/>
        <v>学士</v>
      </c>
    </row>
    <row r="55" s="3" customFormat="1" ht="40" customHeight="1" spans="1:12">
      <c r="A55" s="8">
        <v>53</v>
      </c>
      <c r="B55" s="8" t="s">
        <v>106</v>
      </c>
      <c r="C55" s="8" t="s">
        <v>107</v>
      </c>
      <c r="D55" s="8" t="str">
        <f t="shared" si="4"/>
        <v>z2024328</v>
      </c>
      <c r="E55" s="8" t="str">
        <f>"王维"</f>
        <v>王维</v>
      </c>
      <c r="F55" s="8" t="str">
        <f t="shared" si="5"/>
        <v>女</v>
      </c>
      <c r="G55" s="8" t="str">
        <f>"2000-09-05"</f>
        <v>2000-09-05</v>
      </c>
      <c r="H55" s="8" t="str">
        <f t="shared" si="6"/>
        <v>社会在职</v>
      </c>
      <c r="I55" s="8" t="str">
        <f>"湖北恩施学院"</f>
        <v>湖北恩施学院</v>
      </c>
      <c r="J55" s="8" t="str">
        <f t="shared" si="10"/>
        <v>汉语言文学</v>
      </c>
      <c r="K55" s="8" t="str">
        <f t="shared" si="8"/>
        <v>本科</v>
      </c>
      <c r="L55" s="8" t="str">
        <f t="shared" si="9"/>
        <v>学士</v>
      </c>
    </row>
    <row r="56" s="3" customFormat="1" ht="40" customHeight="1" spans="1:12">
      <c r="A56" s="8">
        <v>54</v>
      </c>
      <c r="B56" s="8" t="s">
        <v>106</v>
      </c>
      <c r="C56" s="8" t="s">
        <v>107</v>
      </c>
      <c r="D56" s="8" t="str">
        <f t="shared" si="4"/>
        <v>z2024328</v>
      </c>
      <c r="E56" s="8" t="str">
        <f>"黄小荣"</f>
        <v>黄小荣</v>
      </c>
      <c r="F56" s="8" t="str">
        <f t="shared" si="5"/>
        <v>女</v>
      </c>
      <c r="G56" s="8" t="str">
        <f>"1998-08-12"</f>
        <v>1998-08-12</v>
      </c>
      <c r="H56" s="8" t="str">
        <f t="shared" si="6"/>
        <v>社会在职</v>
      </c>
      <c r="I56" s="8" t="str">
        <f>"长江大学"</f>
        <v>长江大学</v>
      </c>
      <c r="J56" s="8" t="str">
        <f t="shared" si="10"/>
        <v>汉语言文学</v>
      </c>
      <c r="K56" s="8" t="str">
        <f t="shared" si="8"/>
        <v>本科</v>
      </c>
      <c r="L56" s="8" t="str">
        <f t="shared" si="9"/>
        <v>学士</v>
      </c>
    </row>
    <row r="57" s="3" customFormat="1" ht="40" customHeight="1" spans="1:12">
      <c r="A57" s="8">
        <v>55</v>
      </c>
      <c r="B57" s="8" t="s">
        <v>106</v>
      </c>
      <c r="C57" s="8" t="s">
        <v>107</v>
      </c>
      <c r="D57" s="8" t="str">
        <f t="shared" si="4"/>
        <v>z2024328</v>
      </c>
      <c r="E57" s="8" t="str">
        <f>"毛方萍"</f>
        <v>毛方萍</v>
      </c>
      <c r="F57" s="8" t="str">
        <f t="shared" si="5"/>
        <v>女</v>
      </c>
      <c r="G57" s="8" t="str">
        <f>"1997-07-02"</f>
        <v>1997-07-02</v>
      </c>
      <c r="H57" s="8" t="str">
        <f t="shared" si="6"/>
        <v>社会在职</v>
      </c>
      <c r="I57" s="8" t="str">
        <f>"吉林师范大学博达学院"</f>
        <v>吉林师范大学博达学院</v>
      </c>
      <c r="J57" s="8" t="str">
        <f t="shared" si="10"/>
        <v>汉语言文学</v>
      </c>
      <c r="K57" s="8" t="str">
        <f t="shared" si="8"/>
        <v>本科</v>
      </c>
      <c r="L57" s="8" t="str">
        <f t="shared" si="9"/>
        <v>学士</v>
      </c>
    </row>
    <row r="58" s="3" customFormat="1" ht="40" customHeight="1" spans="1:12">
      <c r="A58" s="8">
        <v>56</v>
      </c>
      <c r="B58" s="8" t="s">
        <v>106</v>
      </c>
      <c r="C58" s="8" t="s">
        <v>156</v>
      </c>
      <c r="D58" s="8" t="s">
        <v>157</v>
      </c>
      <c r="E58" s="8" t="s">
        <v>158</v>
      </c>
      <c r="F58" s="8" t="s">
        <v>25</v>
      </c>
      <c r="G58" s="8" t="s">
        <v>159</v>
      </c>
      <c r="H58" s="8" t="s">
        <v>19</v>
      </c>
      <c r="I58" s="8" t="s">
        <v>131</v>
      </c>
      <c r="J58" s="8" t="s">
        <v>160</v>
      </c>
      <c r="K58" s="8" t="s">
        <v>22</v>
      </c>
      <c r="L58" s="8" t="s">
        <v>23</v>
      </c>
    </row>
    <row r="59" s="3" customFormat="1" ht="40" customHeight="1" spans="1:12">
      <c r="A59" s="8">
        <v>57</v>
      </c>
      <c r="B59" s="8" t="s">
        <v>106</v>
      </c>
      <c r="C59" s="8" t="s">
        <v>156</v>
      </c>
      <c r="D59" s="8" t="str">
        <f t="shared" ref="D59:D73" si="11">"z2024329"</f>
        <v>z2024329</v>
      </c>
      <c r="E59" s="8" t="str">
        <f>"朱煜煊"</f>
        <v>朱煜煊</v>
      </c>
      <c r="F59" s="8" t="str">
        <f t="shared" ref="F59:F66" si="12">"女"</f>
        <v>女</v>
      </c>
      <c r="G59" s="8" t="str">
        <f>"1999-12-20"</f>
        <v>1999-12-20</v>
      </c>
      <c r="H59" s="8" t="str">
        <f t="shared" ref="H59:H73" si="13">"社会在职"</f>
        <v>社会在职</v>
      </c>
      <c r="I59" s="8" t="str">
        <f>"湖北师范大学"</f>
        <v>湖北师范大学</v>
      </c>
      <c r="J59" s="8" t="str">
        <f t="shared" ref="J59:J64" si="14">"数学与应用数学"</f>
        <v>数学与应用数学</v>
      </c>
      <c r="K59" s="8" t="str">
        <f t="shared" ref="K59:K73" si="15">"本科"</f>
        <v>本科</v>
      </c>
      <c r="L59" s="8" t="str">
        <f t="shared" ref="L59:L73" si="16">"学士"</f>
        <v>学士</v>
      </c>
    </row>
    <row r="60" s="3" customFormat="1" ht="40" customHeight="1" spans="1:12">
      <c r="A60" s="8">
        <v>58</v>
      </c>
      <c r="B60" s="8" t="s">
        <v>106</v>
      </c>
      <c r="C60" s="8" t="s">
        <v>156</v>
      </c>
      <c r="D60" s="8" t="str">
        <f t="shared" si="11"/>
        <v>z2024329</v>
      </c>
      <c r="E60" s="8" t="str">
        <f>"张胜枫"</f>
        <v>张胜枫</v>
      </c>
      <c r="F60" s="8" t="str">
        <f t="shared" ref="F60:F63" si="17">"男"</f>
        <v>男</v>
      </c>
      <c r="G60" s="8" t="str">
        <f>"1996-02-10"</f>
        <v>1996-02-10</v>
      </c>
      <c r="H60" s="8" t="str">
        <f t="shared" si="13"/>
        <v>社会在职</v>
      </c>
      <c r="I60" s="8" t="str">
        <f>"湖北民族学院"</f>
        <v>湖北民族学院</v>
      </c>
      <c r="J60" s="8" t="str">
        <f t="shared" si="14"/>
        <v>数学与应用数学</v>
      </c>
      <c r="K60" s="8" t="str">
        <f t="shared" si="15"/>
        <v>本科</v>
      </c>
      <c r="L60" s="8" t="str">
        <f t="shared" si="16"/>
        <v>学士</v>
      </c>
    </row>
    <row r="61" s="3" customFormat="1" ht="40" customHeight="1" spans="1:12">
      <c r="A61" s="8">
        <v>59</v>
      </c>
      <c r="B61" s="8" t="s">
        <v>106</v>
      </c>
      <c r="C61" s="8" t="s">
        <v>156</v>
      </c>
      <c r="D61" s="8" t="str">
        <f t="shared" si="11"/>
        <v>z2024329</v>
      </c>
      <c r="E61" s="8" t="str">
        <f>"彭雨"</f>
        <v>彭雨</v>
      </c>
      <c r="F61" s="8" t="str">
        <f t="shared" si="17"/>
        <v>男</v>
      </c>
      <c r="G61" s="8" t="str">
        <f>"1994-05-27"</f>
        <v>1994-05-27</v>
      </c>
      <c r="H61" s="8" t="str">
        <f t="shared" si="13"/>
        <v>社会在职</v>
      </c>
      <c r="I61" s="8" t="str">
        <f>"湖北民族学院"</f>
        <v>湖北民族学院</v>
      </c>
      <c r="J61" s="8" t="str">
        <f t="shared" si="14"/>
        <v>数学与应用数学</v>
      </c>
      <c r="K61" s="8" t="str">
        <f t="shared" si="15"/>
        <v>本科</v>
      </c>
      <c r="L61" s="8" t="str">
        <f t="shared" si="16"/>
        <v>学士</v>
      </c>
    </row>
    <row r="62" s="3" customFormat="1" ht="40" customHeight="1" spans="1:12">
      <c r="A62" s="8">
        <v>60</v>
      </c>
      <c r="B62" s="8" t="s">
        <v>106</v>
      </c>
      <c r="C62" s="8" t="s">
        <v>156</v>
      </c>
      <c r="D62" s="8" t="str">
        <f t="shared" si="11"/>
        <v>z2024329</v>
      </c>
      <c r="E62" s="8" t="str">
        <f>"邓莲元"</f>
        <v>邓莲元</v>
      </c>
      <c r="F62" s="8" t="str">
        <f t="shared" si="12"/>
        <v>女</v>
      </c>
      <c r="G62" s="8" t="str">
        <f>"2001-04-28"</f>
        <v>2001-04-28</v>
      </c>
      <c r="H62" s="8" t="str">
        <f t="shared" si="13"/>
        <v>社会在职</v>
      </c>
      <c r="I62" s="8" t="str">
        <f>"中南民族大学"</f>
        <v>中南民族大学</v>
      </c>
      <c r="J62" s="8" t="str">
        <f t="shared" si="14"/>
        <v>数学与应用数学</v>
      </c>
      <c r="K62" s="8" t="str">
        <f t="shared" si="15"/>
        <v>本科</v>
      </c>
      <c r="L62" s="8" t="str">
        <f t="shared" si="16"/>
        <v>学士</v>
      </c>
    </row>
    <row r="63" s="3" customFormat="1" ht="40" customHeight="1" spans="1:12">
      <c r="A63" s="8">
        <v>61</v>
      </c>
      <c r="B63" s="8" t="s">
        <v>106</v>
      </c>
      <c r="C63" s="8" t="s">
        <v>156</v>
      </c>
      <c r="D63" s="8" t="str">
        <f t="shared" si="11"/>
        <v>z2024329</v>
      </c>
      <c r="E63" s="8" t="str">
        <f>"谢成涛"</f>
        <v>谢成涛</v>
      </c>
      <c r="F63" s="8" t="str">
        <f t="shared" si="17"/>
        <v>男</v>
      </c>
      <c r="G63" s="8" t="str">
        <f>"1995-10-03"</f>
        <v>1995-10-03</v>
      </c>
      <c r="H63" s="8" t="str">
        <f t="shared" si="13"/>
        <v>社会在职</v>
      </c>
      <c r="I63" s="8" t="str">
        <f>"湖北大学"</f>
        <v>湖北大学</v>
      </c>
      <c r="J63" s="8" t="str">
        <f t="shared" si="14"/>
        <v>数学与应用数学</v>
      </c>
      <c r="K63" s="8" t="str">
        <f t="shared" si="15"/>
        <v>本科</v>
      </c>
      <c r="L63" s="8" t="str">
        <f t="shared" si="16"/>
        <v>学士</v>
      </c>
    </row>
    <row r="64" s="3" customFormat="1" ht="40" customHeight="1" spans="1:12">
      <c r="A64" s="8">
        <v>62</v>
      </c>
      <c r="B64" s="8" t="s">
        <v>106</v>
      </c>
      <c r="C64" s="8" t="s">
        <v>156</v>
      </c>
      <c r="D64" s="8" t="str">
        <f t="shared" si="11"/>
        <v>z2024329</v>
      </c>
      <c r="E64" s="8" t="str">
        <f>"宋佳"</f>
        <v>宋佳</v>
      </c>
      <c r="F64" s="8" t="str">
        <f t="shared" si="12"/>
        <v>女</v>
      </c>
      <c r="G64" s="8" t="str">
        <f>"1997-10-08"</f>
        <v>1997-10-08</v>
      </c>
      <c r="H64" s="8" t="str">
        <f t="shared" si="13"/>
        <v>社会在职</v>
      </c>
      <c r="I64" s="8" t="str">
        <f>"湖北民族大学"</f>
        <v>湖北民族大学</v>
      </c>
      <c r="J64" s="8" t="str">
        <f t="shared" si="14"/>
        <v>数学与应用数学</v>
      </c>
      <c r="K64" s="8" t="str">
        <f t="shared" si="15"/>
        <v>本科</v>
      </c>
      <c r="L64" s="8" t="str">
        <f t="shared" si="16"/>
        <v>学士</v>
      </c>
    </row>
    <row r="65" s="3" customFormat="1" ht="40" customHeight="1" spans="1:12">
      <c r="A65" s="8">
        <v>63</v>
      </c>
      <c r="B65" s="8" t="s">
        <v>106</v>
      </c>
      <c r="C65" s="8" t="s">
        <v>156</v>
      </c>
      <c r="D65" s="8" t="str">
        <f t="shared" si="11"/>
        <v>z2024329</v>
      </c>
      <c r="E65" s="8" t="str">
        <f>"邓红梅"</f>
        <v>邓红梅</v>
      </c>
      <c r="F65" s="8" t="str">
        <f t="shared" si="12"/>
        <v>女</v>
      </c>
      <c r="G65" s="8" t="str">
        <f>"1999-06-20"</f>
        <v>1999-06-20</v>
      </c>
      <c r="H65" s="8" t="str">
        <f t="shared" si="13"/>
        <v>社会在职</v>
      </c>
      <c r="I65" s="8" t="str">
        <f>"长江师范学院"</f>
        <v>长江师范学院</v>
      </c>
      <c r="J65" s="8" t="str">
        <f>"数学应用数学"</f>
        <v>数学应用数学</v>
      </c>
      <c r="K65" s="8" t="str">
        <f t="shared" si="15"/>
        <v>本科</v>
      </c>
      <c r="L65" s="8" t="str">
        <f t="shared" si="16"/>
        <v>学士</v>
      </c>
    </row>
    <row r="66" s="3" customFormat="1" ht="40" customHeight="1" spans="1:12">
      <c r="A66" s="8">
        <v>64</v>
      </c>
      <c r="B66" s="8" t="s">
        <v>106</v>
      </c>
      <c r="C66" s="8" t="s">
        <v>156</v>
      </c>
      <c r="D66" s="8" t="str">
        <f t="shared" si="11"/>
        <v>z2024329</v>
      </c>
      <c r="E66" s="8" t="str">
        <f>"赵文嘉"</f>
        <v>赵文嘉</v>
      </c>
      <c r="F66" s="8" t="str">
        <f t="shared" si="12"/>
        <v>女</v>
      </c>
      <c r="G66" s="8" t="str">
        <f>"1999-08-25"</f>
        <v>1999-08-25</v>
      </c>
      <c r="H66" s="8" t="str">
        <f t="shared" si="13"/>
        <v>社会在职</v>
      </c>
      <c r="I66" s="8" t="str">
        <f>"黄冈师范学院"</f>
        <v>黄冈师范学院</v>
      </c>
      <c r="J66" s="8" t="str">
        <f t="shared" ref="J66:J69" si="18">"数学与应用数学"</f>
        <v>数学与应用数学</v>
      </c>
      <c r="K66" s="8" t="str">
        <f t="shared" si="15"/>
        <v>本科</v>
      </c>
      <c r="L66" s="8" t="str">
        <f t="shared" si="16"/>
        <v>学士</v>
      </c>
    </row>
    <row r="67" s="3" customFormat="1" ht="40" customHeight="1" spans="1:12">
      <c r="A67" s="8">
        <v>65</v>
      </c>
      <c r="B67" s="8" t="s">
        <v>106</v>
      </c>
      <c r="C67" s="8" t="s">
        <v>156</v>
      </c>
      <c r="D67" s="8" t="str">
        <f t="shared" si="11"/>
        <v>z2024329</v>
      </c>
      <c r="E67" s="8" t="str">
        <f>"方峰"</f>
        <v>方峰</v>
      </c>
      <c r="F67" s="8" t="str">
        <f t="shared" ref="F67:F71" si="19">"男"</f>
        <v>男</v>
      </c>
      <c r="G67" s="8" t="str">
        <f>"1995-01-22"</f>
        <v>1995-01-22</v>
      </c>
      <c r="H67" s="8" t="str">
        <f t="shared" si="13"/>
        <v>社会在职</v>
      </c>
      <c r="I67" s="8" t="str">
        <f>"湖北民族大学"</f>
        <v>湖北民族大学</v>
      </c>
      <c r="J67" s="8" t="str">
        <f>"信息与计算科学"</f>
        <v>信息与计算科学</v>
      </c>
      <c r="K67" s="8" t="str">
        <f t="shared" si="15"/>
        <v>本科</v>
      </c>
      <c r="L67" s="8" t="str">
        <f t="shared" si="16"/>
        <v>学士</v>
      </c>
    </row>
    <row r="68" s="3" customFormat="1" ht="40" customHeight="1" spans="1:12">
      <c r="A68" s="8">
        <v>66</v>
      </c>
      <c r="B68" s="8" t="s">
        <v>106</v>
      </c>
      <c r="C68" s="8" t="s">
        <v>156</v>
      </c>
      <c r="D68" s="8" t="str">
        <f t="shared" si="11"/>
        <v>z2024329</v>
      </c>
      <c r="E68" s="8" t="s">
        <v>161</v>
      </c>
      <c r="F68" s="8" t="str">
        <f>"女"</f>
        <v>女</v>
      </c>
      <c r="G68" s="8" t="str">
        <f>"1996-08-01"</f>
        <v>1996-08-01</v>
      </c>
      <c r="H68" s="8" t="str">
        <f t="shared" si="13"/>
        <v>社会在职</v>
      </c>
      <c r="I68" s="8" t="str">
        <f>"南京晓庄学院"</f>
        <v>南京晓庄学院</v>
      </c>
      <c r="J68" s="8" t="str">
        <f t="shared" si="18"/>
        <v>数学与应用数学</v>
      </c>
      <c r="K68" s="8" t="str">
        <f t="shared" si="15"/>
        <v>本科</v>
      </c>
      <c r="L68" s="8" t="str">
        <f t="shared" si="16"/>
        <v>学士</v>
      </c>
    </row>
    <row r="69" s="3" customFormat="1" ht="40" customHeight="1" spans="1:12">
      <c r="A69" s="8">
        <v>67</v>
      </c>
      <c r="B69" s="8" t="s">
        <v>106</v>
      </c>
      <c r="C69" s="8" t="s">
        <v>156</v>
      </c>
      <c r="D69" s="8" t="str">
        <f t="shared" si="11"/>
        <v>z2024329</v>
      </c>
      <c r="E69" s="8" t="str">
        <f>"陈惠玲"</f>
        <v>陈惠玲</v>
      </c>
      <c r="F69" s="8" t="str">
        <f>"女"</f>
        <v>女</v>
      </c>
      <c r="G69" s="8" t="str">
        <f>"1999-12-09"</f>
        <v>1999-12-09</v>
      </c>
      <c r="H69" s="8" t="str">
        <f t="shared" si="13"/>
        <v>社会在职</v>
      </c>
      <c r="I69" s="8" t="str">
        <f>"湖南科技学院"</f>
        <v>湖南科技学院</v>
      </c>
      <c r="J69" s="8" t="str">
        <f t="shared" si="18"/>
        <v>数学与应用数学</v>
      </c>
      <c r="K69" s="8" t="str">
        <f t="shared" si="15"/>
        <v>本科</v>
      </c>
      <c r="L69" s="8" t="str">
        <f t="shared" si="16"/>
        <v>学士</v>
      </c>
    </row>
    <row r="70" s="3" customFormat="1" ht="40" customHeight="1" spans="1:12">
      <c r="A70" s="8">
        <v>68</v>
      </c>
      <c r="B70" s="8" t="s">
        <v>106</v>
      </c>
      <c r="C70" s="8" t="s">
        <v>156</v>
      </c>
      <c r="D70" s="8" t="str">
        <f t="shared" si="11"/>
        <v>z2024329</v>
      </c>
      <c r="E70" s="8" t="str">
        <f>"谭作瑜"</f>
        <v>谭作瑜</v>
      </c>
      <c r="F70" s="8" t="str">
        <f t="shared" si="19"/>
        <v>男</v>
      </c>
      <c r="G70" s="8" t="str">
        <f>"1999-08-20"</f>
        <v>1999-08-20</v>
      </c>
      <c r="H70" s="8" t="str">
        <f t="shared" si="13"/>
        <v>社会在职</v>
      </c>
      <c r="I70" s="8" t="str">
        <f>"辽宁师范大学"</f>
        <v>辽宁师范大学</v>
      </c>
      <c r="J70" s="8" t="str">
        <f>"数学与应用数学（师范）"</f>
        <v>数学与应用数学（师范）</v>
      </c>
      <c r="K70" s="8" t="str">
        <f t="shared" si="15"/>
        <v>本科</v>
      </c>
      <c r="L70" s="8" t="str">
        <f t="shared" si="16"/>
        <v>学士</v>
      </c>
    </row>
    <row r="71" s="3" customFormat="1" ht="40" customHeight="1" spans="1:12">
      <c r="A71" s="8">
        <v>69</v>
      </c>
      <c r="B71" s="8" t="s">
        <v>106</v>
      </c>
      <c r="C71" s="8" t="s">
        <v>156</v>
      </c>
      <c r="D71" s="8" t="str">
        <f t="shared" si="11"/>
        <v>z2024329</v>
      </c>
      <c r="E71" s="8" t="str">
        <f>"王少栋"</f>
        <v>王少栋</v>
      </c>
      <c r="F71" s="8" t="str">
        <f t="shared" si="19"/>
        <v>男</v>
      </c>
      <c r="G71" s="8" t="str">
        <f>"1996-07-04"</f>
        <v>1996-07-04</v>
      </c>
      <c r="H71" s="8" t="str">
        <f t="shared" si="13"/>
        <v>社会在职</v>
      </c>
      <c r="I71" s="8" t="str">
        <f>"吉首大学"</f>
        <v>吉首大学</v>
      </c>
      <c r="J71" s="8" t="str">
        <f>"数学与应用数学"</f>
        <v>数学与应用数学</v>
      </c>
      <c r="K71" s="8" t="str">
        <f t="shared" si="15"/>
        <v>本科</v>
      </c>
      <c r="L71" s="8" t="str">
        <f t="shared" si="16"/>
        <v>学士</v>
      </c>
    </row>
    <row r="72" s="3" customFormat="1" ht="40" customHeight="1" spans="1:12">
      <c r="A72" s="8">
        <v>70</v>
      </c>
      <c r="B72" s="8" t="s">
        <v>106</v>
      </c>
      <c r="C72" s="8" t="s">
        <v>156</v>
      </c>
      <c r="D72" s="8" t="str">
        <f t="shared" si="11"/>
        <v>z2024329</v>
      </c>
      <c r="E72" s="8" t="str">
        <f>"张欣怡"</f>
        <v>张欣怡</v>
      </c>
      <c r="F72" s="8" t="str">
        <f>"女"</f>
        <v>女</v>
      </c>
      <c r="G72" s="8" t="str">
        <f>"2001-05-13"</f>
        <v>2001-05-13</v>
      </c>
      <c r="H72" s="8" t="str">
        <f t="shared" si="13"/>
        <v>社会在职</v>
      </c>
      <c r="I72" s="8" t="str">
        <f>"湖北民族大学"</f>
        <v>湖北民族大学</v>
      </c>
      <c r="J72" s="8" t="str">
        <f>"数学与应用数学"</f>
        <v>数学与应用数学</v>
      </c>
      <c r="K72" s="8" t="str">
        <f t="shared" si="15"/>
        <v>本科</v>
      </c>
      <c r="L72" s="8" t="str">
        <f t="shared" si="16"/>
        <v>学士</v>
      </c>
    </row>
    <row r="73" s="3" customFormat="1" ht="40" customHeight="1" spans="1:12">
      <c r="A73" s="8">
        <v>71</v>
      </c>
      <c r="B73" s="8" t="s">
        <v>106</v>
      </c>
      <c r="C73" s="8" t="s">
        <v>62</v>
      </c>
      <c r="D73" s="8" t="s">
        <v>162</v>
      </c>
      <c r="E73" s="8" t="s">
        <v>163</v>
      </c>
      <c r="F73" s="8" t="s">
        <v>17</v>
      </c>
      <c r="G73" s="8" t="s">
        <v>164</v>
      </c>
      <c r="H73" s="8" t="s">
        <v>41</v>
      </c>
      <c r="I73" s="8" t="s">
        <v>165</v>
      </c>
      <c r="J73" s="8" t="s">
        <v>166</v>
      </c>
      <c r="K73" s="8" t="s">
        <v>22</v>
      </c>
      <c r="L73" s="8" t="s">
        <v>23</v>
      </c>
    </row>
    <row r="74" s="3" customFormat="1" ht="40" customHeight="1" spans="1:12">
      <c r="A74" s="8">
        <v>72</v>
      </c>
      <c r="B74" s="8" t="s">
        <v>106</v>
      </c>
      <c r="C74" s="8" t="s">
        <v>62</v>
      </c>
      <c r="D74" s="8" t="s">
        <v>162</v>
      </c>
      <c r="E74" s="8" t="s">
        <v>167</v>
      </c>
      <c r="F74" s="8" t="s">
        <v>17</v>
      </c>
      <c r="G74" s="8" t="s">
        <v>168</v>
      </c>
      <c r="H74" s="8" t="s">
        <v>19</v>
      </c>
      <c r="I74" s="8" t="s">
        <v>70</v>
      </c>
      <c r="J74" s="8" t="s">
        <v>67</v>
      </c>
      <c r="K74" s="8" t="s">
        <v>22</v>
      </c>
      <c r="L74" s="8" t="s">
        <v>23</v>
      </c>
    </row>
    <row r="75" s="3" customFormat="1" ht="40" customHeight="1" spans="1:12">
      <c r="A75" s="8">
        <v>73</v>
      </c>
      <c r="B75" s="8" t="s">
        <v>106</v>
      </c>
      <c r="C75" s="8" t="s">
        <v>62</v>
      </c>
      <c r="D75" s="8" t="s">
        <v>162</v>
      </c>
      <c r="E75" s="8" t="s">
        <v>169</v>
      </c>
      <c r="F75" s="8" t="s">
        <v>17</v>
      </c>
      <c r="G75" s="8" t="s">
        <v>170</v>
      </c>
      <c r="H75" s="8" t="s">
        <v>41</v>
      </c>
      <c r="I75" s="8" t="s">
        <v>171</v>
      </c>
      <c r="J75" s="8" t="s">
        <v>102</v>
      </c>
      <c r="K75" s="8" t="s">
        <v>22</v>
      </c>
      <c r="L75" s="8" t="s">
        <v>23</v>
      </c>
    </row>
    <row r="76" s="3" customFormat="1" ht="40" customHeight="1" spans="1:12">
      <c r="A76" s="8">
        <v>74</v>
      </c>
      <c r="B76" s="8" t="s">
        <v>106</v>
      </c>
      <c r="C76" s="8" t="s">
        <v>62</v>
      </c>
      <c r="D76" s="8" t="s">
        <v>162</v>
      </c>
      <c r="E76" s="8" t="s">
        <v>172</v>
      </c>
      <c r="F76" s="8" t="s">
        <v>17</v>
      </c>
      <c r="G76" s="8" t="s">
        <v>173</v>
      </c>
      <c r="H76" s="8" t="s">
        <v>41</v>
      </c>
      <c r="I76" s="8" t="s">
        <v>76</v>
      </c>
      <c r="J76" s="8" t="s">
        <v>77</v>
      </c>
      <c r="K76" s="8" t="s">
        <v>22</v>
      </c>
      <c r="L76" s="8" t="s">
        <v>23</v>
      </c>
    </row>
    <row r="77" s="3" customFormat="1" ht="40" customHeight="1" spans="1:12">
      <c r="A77" s="8">
        <v>75</v>
      </c>
      <c r="B77" s="8" t="s">
        <v>106</v>
      </c>
      <c r="C77" s="8" t="s">
        <v>62</v>
      </c>
      <c r="D77" s="8" t="s">
        <v>162</v>
      </c>
      <c r="E77" s="8" t="s">
        <v>174</v>
      </c>
      <c r="F77" s="8" t="s">
        <v>17</v>
      </c>
      <c r="G77" s="8" t="s">
        <v>175</v>
      </c>
      <c r="H77" s="8" t="s">
        <v>19</v>
      </c>
      <c r="I77" s="8" t="s">
        <v>123</v>
      </c>
      <c r="J77" s="8" t="s">
        <v>102</v>
      </c>
      <c r="K77" s="8" t="s">
        <v>22</v>
      </c>
      <c r="L77" s="8" t="s">
        <v>23</v>
      </c>
    </row>
    <row r="78" s="3" customFormat="1" ht="40" customHeight="1" spans="1:12">
      <c r="A78" s="8">
        <v>76</v>
      </c>
      <c r="B78" s="8" t="s">
        <v>106</v>
      </c>
      <c r="C78" s="8" t="s">
        <v>62</v>
      </c>
      <c r="D78" s="8" t="s">
        <v>162</v>
      </c>
      <c r="E78" s="8" t="s">
        <v>176</v>
      </c>
      <c r="F78" s="8" t="s">
        <v>17</v>
      </c>
      <c r="G78" s="8" t="s">
        <v>177</v>
      </c>
      <c r="H78" s="8" t="s">
        <v>41</v>
      </c>
      <c r="I78" s="8" t="s">
        <v>178</v>
      </c>
      <c r="J78" s="8" t="s">
        <v>179</v>
      </c>
      <c r="K78" s="8" t="s">
        <v>22</v>
      </c>
      <c r="L78" s="8" t="s">
        <v>23</v>
      </c>
    </row>
    <row r="79" s="3" customFormat="1" ht="40" customHeight="1" spans="1:12">
      <c r="A79" s="8">
        <v>77</v>
      </c>
      <c r="B79" s="8" t="s">
        <v>106</v>
      </c>
      <c r="C79" s="8" t="s">
        <v>62</v>
      </c>
      <c r="D79" s="8" t="str">
        <f t="shared" ref="D79:D84" si="20">"z2024330"</f>
        <v>z2024330</v>
      </c>
      <c r="E79" s="8" t="str">
        <f>"向莎"</f>
        <v>向莎</v>
      </c>
      <c r="F79" s="8" t="str">
        <f t="shared" ref="F79:F84" si="21">"女"</f>
        <v>女</v>
      </c>
      <c r="G79" s="8" t="str">
        <f>"1998-12-27"</f>
        <v>1998-12-27</v>
      </c>
      <c r="H79" s="8" t="str">
        <f t="shared" ref="H79:H83" si="22">"社会在职"</f>
        <v>社会在职</v>
      </c>
      <c r="I79" s="8" t="str">
        <f>"北方民族大学"</f>
        <v>北方民族大学</v>
      </c>
      <c r="J79" s="8" t="str">
        <f t="shared" ref="J79:J83" si="23">"英语"</f>
        <v>英语</v>
      </c>
      <c r="K79" s="8" t="str">
        <f t="shared" ref="K79:K84" si="24">"本科"</f>
        <v>本科</v>
      </c>
      <c r="L79" s="8" t="str">
        <f t="shared" ref="L79:L84" si="25">"学士"</f>
        <v>学士</v>
      </c>
    </row>
    <row r="80" s="3" customFormat="1" ht="40" customHeight="1" spans="1:12">
      <c r="A80" s="8">
        <v>78</v>
      </c>
      <c r="B80" s="8" t="s">
        <v>106</v>
      </c>
      <c r="C80" s="8" t="s">
        <v>62</v>
      </c>
      <c r="D80" s="8" t="str">
        <f t="shared" si="20"/>
        <v>z2024330</v>
      </c>
      <c r="E80" s="8" t="str">
        <f>"舒小芳"</f>
        <v>舒小芳</v>
      </c>
      <c r="F80" s="8" t="str">
        <f t="shared" si="21"/>
        <v>女</v>
      </c>
      <c r="G80" s="8" t="str">
        <f>"1998-05-04"</f>
        <v>1998-05-04</v>
      </c>
      <c r="H80" s="8" t="str">
        <f t="shared" si="22"/>
        <v>社会在职</v>
      </c>
      <c r="I80" s="8" t="str">
        <f>"湖北民族大学"</f>
        <v>湖北民族大学</v>
      </c>
      <c r="J80" s="8" t="str">
        <f t="shared" si="23"/>
        <v>英语</v>
      </c>
      <c r="K80" s="8" t="str">
        <f t="shared" si="24"/>
        <v>本科</v>
      </c>
      <c r="L80" s="8" t="str">
        <f t="shared" si="25"/>
        <v>学士</v>
      </c>
    </row>
    <row r="81" s="3" customFormat="1" ht="40" customHeight="1" spans="1:12">
      <c r="A81" s="8">
        <v>79</v>
      </c>
      <c r="B81" s="8" t="s">
        <v>106</v>
      </c>
      <c r="C81" s="8" t="s">
        <v>62</v>
      </c>
      <c r="D81" s="8" t="str">
        <f t="shared" si="20"/>
        <v>z2024330</v>
      </c>
      <c r="E81" s="8" t="str">
        <f>"李金红"</f>
        <v>李金红</v>
      </c>
      <c r="F81" s="8" t="str">
        <f t="shared" si="21"/>
        <v>女</v>
      </c>
      <c r="G81" s="8" t="str">
        <f>"1999-11-15"</f>
        <v>1999-11-15</v>
      </c>
      <c r="H81" s="8" t="str">
        <f t="shared" si="22"/>
        <v>社会在职</v>
      </c>
      <c r="I81" s="8" t="str">
        <f>"武汉纺织大学"</f>
        <v>武汉纺织大学</v>
      </c>
      <c r="J81" s="8" t="str">
        <f t="shared" si="23"/>
        <v>英语</v>
      </c>
      <c r="K81" s="8" t="str">
        <f t="shared" si="24"/>
        <v>本科</v>
      </c>
      <c r="L81" s="8" t="str">
        <f t="shared" si="25"/>
        <v>学士</v>
      </c>
    </row>
    <row r="82" s="3" customFormat="1" ht="40" customHeight="1" spans="1:12">
      <c r="A82" s="8">
        <v>80</v>
      </c>
      <c r="B82" s="8" t="s">
        <v>106</v>
      </c>
      <c r="C82" s="8" t="s">
        <v>62</v>
      </c>
      <c r="D82" s="8" t="str">
        <f t="shared" si="20"/>
        <v>z2024330</v>
      </c>
      <c r="E82" s="8" t="str">
        <f>"杨凡"</f>
        <v>杨凡</v>
      </c>
      <c r="F82" s="8" t="str">
        <f t="shared" si="21"/>
        <v>女</v>
      </c>
      <c r="G82" s="8" t="str">
        <f>"1996-02-12"</f>
        <v>1996-02-12</v>
      </c>
      <c r="H82" s="8" t="str">
        <f t="shared" si="22"/>
        <v>社会在职</v>
      </c>
      <c r="I82" s="8" t="str">
        <f>"长沙医学院"</f>
        <v>长沙医学院</v>
      </c>
      <c r="J82" s="8" t="str">
        <f t="shared" si="23"/>
        <v>英语</v>
      </c>
      <c r="K82" s="8" t="str">
        <f t="shared" si="24"/>
        <v>本科</v>
      </c>
      <c r="L82" s="8" t="str">
        <f t="shared" si="25"/>
        <v>学士</v>
      </c>
    </row>
    <row r="83" s="3" customFormat="1" ht="40" customHeight="1" spans="1:12">
      <c r="A83" s="8">
        <v>81</v>
      </c>
      <c r="B83" s="8" t="s">
        <v>106</v>
      </c>
      <c r="C83" s="8" t="s">
        <v>62</v>
      </c>
      <c r="D83" s="8" t="str">
        <f t="shared" si="20"/>
        <v>z2024330</v>
      </c>
      <c r="E83" s="8" t="str">
        <f>"徐菱璠"</f>
        <v>徐菱璠</v>
      </c>
      <c r="F83" s="8" t="str">
        <f t="shared" si="21"/>
        <v>女</v>
      </c>
      <c r="G83" s="8" t="str">
        <f>"1999-07-18"</f>
        <v>1999-07-18</v>
      </c>
      <c r="H83" s="8" t="str">
        <f t="shared" si="22"/>
        <v>社会在职</v>
      </c>
      <c r="I83" s="8" t="str">
        <f>"湖北民族大学"</f>
        <v>湖北民族大学</v>
      </c>
      <c r="J83" s="8" t="str">
        <f t="shared" si="23"/>
        <v>英语</v>
      </c>
      <c r="K83" s="8" t="str">
        <f t="shared" si="24"/>
        <v>本科</v>
      </c>
      <c r="L83" s="8" t="str">
        <f t="shared" si="25"/>
        <v>学士</v>
      </c>
    </row>
    <row r="84" s="3" customFormat="1" ht="40" customHeight="1" spans="1:12">
      <c r="A84" s="8">
        <v>82</v>
      </c>
      <c r="B84" s="8" t="s">
        <v>106</v>
      </c>
      <c r="C84" s="8" t="s">
        <v>62</v>
      </c>
      <c r="D84" s="8" t="str">
        <f t="shared" si="20"/>
        <v>z2024330</v>
      </c>
      <c r="E84" s="8" t="str">
        <f>"刘媛媛"</f>
        <v>刘媛媛</v>
      </c>
      <c r="F84" s="8" t="str">
        <f t="shared" si="21"/>
        <v>女</v>
      </c>
      <c r="G84" s="8" t="str">
        <f>"2000-10-17"</f>
        <v>2000-10-17</v>
      </c>
      <c r="H84" s="8" t="str">
        <f>"应届"</f>
        <v>应届</v>
      </c>
      <c r="I84" s="8" t="str">
        <f>"长江大学"</f>
        <v>长江大学</v>
      </c>
      <c r="J84" s="8" t="str">
        <f>"商务英语"</f>
        <v>商务英语</v>
      </c>
      <c r="K84" s="8" t="str">
        <f t="shared" si="24"/>
        <v>本科</v>
      </c>
      <c r="L84" s="8" t="str">
        <f t="shared" si="25"/>
        <v>学士</v>
      </c>
    </row>
    <row r="85" s="3" customFormat="1" ht="40" customHeight="1" spans="1:12">
      <c r="A85" s="8">
        <v>83</v>
      </c>
      <c r="B85" s="8" t="s">
        <v>106</v>
      </c>
      <c r="C85" s="8" t="s">
        <v>180</v>
      </c>
      <c r="D85" s="8" t="s">
        <v>181</v>
      </c>
      <c r="E85" s="8" t="s">
        <v>182</v>
      </c>
      <c r="F85" s="8" t="s">
        <v>25</v>
      </c>
      <c r="G85" s="8" t="s">
        <v>183</v>
      </c>
      <c r="H85" s="8" t="s">
        <v>41</v>
      </c>
      <c r="I85" s="8" t="s">
        <v>70</v>
      </c>
      <c r="J85" s="8" t="s">
        <v>184</v>
      </c>
      <c r="K85" s="8" t="s">
        <v>22</v>
      </c>
      <c r="L85" s="8" t="s">
        <v>23</v>
      </c>
    </row>
    <row r="86" s="3" customFormat="1" ht="40" customHeight="1" spans="1:12">
      <c r="A86" s="8">
        <v>84</v>
      </c>
      <c r="B86" s="8" t="s">
        <v>106</v>
      </c>
      <c r="C86" s="8" t="s">
        <v>180</v>
      </c>
      <c r="D86" s="8" t="s">
        <v>181</v>
      </c>
      <c r="E86" s="8" t="s">
        <v>185</v>
      </c>
      <c r="F86" s="8" t="s">
        <v>17</v>
      </c>
      <c r="G86" s="8" t="s">
        <v>186</v>
      </c>
      <c r="H86" s="8" t="s">
        <v>19</v>
      </c>
      <c r="I86" s="8" t="s">
        <v>187</v>
      </c>
      <c r="J86" s="8" t="s">
        <v>188</v>
      </c>
      <c r="K86" s="8" t="s">
        <v>22</v>
      </c>
      <c r="L86" s="8" t="s">
        <v>23</v>
      </c>
    </row>
    <row r="87" s="3" customFormat="1" ht="40" customHeight="1" spans="1:12">
      <c r="A87" s="8">
        <v>85</v>
      </c>
      <c r="B87" s="8" t="s">
        <v>106</v>
      </c>
      <c r="C87" s="8" t="s">
        <v>180</v>
      </c>
      <c r="D87" s="8" t="s">
        <v>181</v>
      </c>
      <c r="E87" s="8" t="s">
        <v>189</v>
      </c>
      <c r="F87" s="8" t="s">
        <v>25</v>
      </c>
      <c r="G87" s="8" t="s">
        <v>190</v>
      </c>
      <c r="H87" s="8" t="s">
        <v>41</v>
      </c>
      <c r="I87" s="8" t="s">
        <v>70</v>
      </c>
      <c r="J87" s="8" t="s">
        <v>184</v>
      </c>
      <c r="K87" s="8" t="s">
        <v>22</v>
      </c>
      <c r="L87" s="8" t="s">
        <v>23</v>
      </c>
    </row>
    <row r="88" s="3" customFormat="1" ht="40" customHeight="1" spans="1:12">
      <c r="A88" s="8">
        <v>86</v>
      </c>
      <c r="B88" s="8" t="s">
        <v>106</v>
      </c>
      <c r="C88" s="8" t="s">
        <v>180</v>
      </c>
      <c r="D88" s="8" t="str">
        <f>"z2024331"</f>
        <v>z2024331</v>
      </c>
      <c r="E88" s="8" t="str">
        <f>"刘敏"</f>
        <v>刘敏</v>
      </c>
      <c r="F88" s="8" t="str">
        <f>"女"</f>
        <v>女</v>
      </c>
      <c r="G88" s="8" t="str">
        <f>"1996-02-17"</f>
        <v>1996-02-17</v>
      </c>
      <c r="H88" s="8" t="str">
        <f>"社会在职"</f>
        <v>社会在职</v>
      </c>
      <c r="I88" s="8" t="str">
        <f>"长沙理工大学"</f>
        <v>长沙理工大学</v>
      </c>
      <c r="J88" s="8" t="str">
        <f>"计算机科学与技术"</f>
        <v>计算机科学与技术</v>
      </c>
      <c r="K88" s="8" t="str">
        <f>"本科"</f>
        <v>本科</v>
      </c>
      <c r="L88" s="8" t="str">
        <f>"学士"</f>
        <v>学士</v>
      </c>
    </row>
    <row r="89" s="3" customFormat="1" ht="40" customHeight="1" spans="1:12">
      <c r="A89" s="8">
        <v>87</v>
      </c>
      <c r="B89" s="8" t="s">
        <v>106</v>
      </c>
      <c r="C89" s="8" t="s">
        <v>180</v>
      </c>
      <c r="D89" s="8" t="str">
        <f>"z2024331"</f>
        <v>z2024331</v>
      </c>
      <c r="E89" s="8" t="str">
        <f>"瞿瀚"</f>
        <v>瞿瀚</v>
      </c>
      <c r="F89" s="8" t="str">
        <f>"男"</f>
        <v>男</v>
      </c>
      <c r="G89" s="8" t="str">
        <f>"2000-10-26"</f>
        <v>2000-10-26</v>
      </c>
      <c r="H89" s="8" t="str">
        <f>"应届"</f>
        <v>应届</v>
      </c>
      <c r="I89" s="8" t="str">
        <f>"湖北恩施学院"</f>
        <v>湖北恩施学院</v>
      </c>
      <c r="J89" s="8" t="str">
        <f>"计算机科学与技术"</f>
        <v>计算机科学与技术</v>
      </c>
      <c r="K89" s="8" t="str">
        <f>"本科"</f>
        <v>本科</v>
      </c>
      <c r="L89" s="8" t="str">
        <f>"学士"</f>
        <v>学士</v>
      </c>
    </row>
    <row r="90" s="3" customFormat="1" ht="40" customHeight="1" spans="1:12">
      <c r="A90" s="8">
        <v>88</v>
      </c>
      <c r="B90" s="8" t="s">
        <v>106</v>
      </c>
      <c r="C90" s="8" t="s">
        <v>180</v>
      </c>
      <c r="D90" s="8" t="str">
        <f t="shared" ref="D90:D99" si="26">"z2024331"</f>
        <v>z2024331</v>
      </c>
      <c r="E90" s="8" t="str">
        <f>"李琼英"</f>
        <v>李琼英</v>
      </c>
      <c r="F90" s="8" t="str">
        <f>"女"</f>
        <v>女</v>
      </c>
      <c r="G90" s="8" t="str">
        <f>"1997-12-10"</f>
        <v>1997-12-10</v>
      </c>
      <c r="H90" s="8" t="str">
        <f>"社会在职"</f>
        <v>社会在职</v>
      </c>
      <c r="I90" s="8" t="str">
        <f>"湖北文理学院"</f>
        <v>湖北文理学院</v>
      </c>
      <c r="J90" s="8" t="str">
        <f>"教育技术学"</f>
        <v>教育技术学</v>
      </c>
      <c r="K90" s="8" t="str">
        <f t="shared" ref="K90:K99" si="27">"本科"</f>
        <v>本科</v>
      </c>
      <c r="L90" s="8" t="str">
        <f t="shared" ref="L90:L99" si="28">"学士"</f>
        <v>学士</v>
      </c>
    </row>
    <row r="91" s="3" customFormat="1" ht="40" customHeight="1" spans="1:12">
      <c r="A91" s="8">
        <v>89</v>
      </c>
      <c r="B91" s="8" t="s">
        <v>106</v>
      </c>
      <c r="C91" s="8" t="s">
        <v>180</v>
      </c>
      <c r="D91" s="8" t="str">
        <f t="shared" si="26"/>
        <v>z2024331</v>
      </c>
      <c r="E91" s="8" t="str">
        <f>"周艳群"</f>
        <v>周艳群</v>
      </c>
      <c r="F91" s="8" t="str">
        <f>"女"</f>
        <v>女</v>
      </c>
      <c r="G91" s="8" t="str">
        <f>"1999-05-11"</f>
        <v>1999-05-11</v>
      </c>
      <c r="H91" s="8" t="str">
        <f>"社会在职"</f>
        <v>社会在职</v>
      </c>
      <c r="I91" s="8" t="str">
        <f>"武汉生物工程学院"</f>
        <v>武汉生物工程学院</v>
      </c>
      <c r="J91" s="8" t="str">
        <f>"计算机科学与技术"</f>
        <v>计算机科学与技术</v>
      </c>
      <c r="K91" s="8" t="str">
        <f t="shared" si="27"/>
        <v>本科</v>
      </c>
      <c r="L91" s="8" t="str">
        <f t="shared" si="28"/>
        <v>学士</v>
      </c>
    </row>
    <row r="92" s="3" customFormat="1" ht="40" customHeight="1" spans="1:12">
      <c r="A92" s="8">
        <v>90</v>
      </c>
      <c r="B92" s="8" t="s">
        <v>106</v>
      </c>
      <c r="C92" s="8" t="s">
        <v>180</v>
      </c>
      <c r="D92" s="8" t="str">
        <f t="shared" si="26"/>
        <v>z2024331</v>
      </c>
      <c r="E92" s="8" t="str">
        <f>"彭建也"</f>
        <v>彭建也</v>
      </c>
      <c r="F92" s="8" t="str">
        <f t="shared" ref="F92:F96" si="29">"男"</f>
        <v>男</v>
      </c>
      <c r="G92" s="8" t="str">
        <f>"1998-10-03"</f>
        <v>1998-10-03</v>
      </c>
      <c r="H92" s="8" t="str">
        <f>"应届"</f>
        <v>应届</v>
      </c>
      <c r="I92" s="8" t="str">
        <f>"吉首大学张家界学院"</f>
        <v>吉首大学张家界学院</v>
      </c>
      <c r="J92" s="8" t="str">
        <f>"计算机科学与技术"</f>
        <v>计算机科学与技术</v>
      </c>
      <c r="K92" s="8" t="str">
        <f t="shared" si="27"/>
        <v>本科</v>
      </c>
      <c r="L92" s="8" t="str">
        <f t="shared" si="28"/>
        <v>学士</v>
      </c>
    </row>
    <row r="93" s="3" customFormat="1" ht="40" customHeight="1" spans="1:12">
      <c r="A93" s="8">
        <v>91</v>
      </c>
      <c r="B93" s="8" t="s">
        <v>106</v>
      </c>
      <c r="C93" s="8" t="s">
        <v>180</v>
      </c>
      <c r="D93" s="8" t="str">
        <f t="shared" si="26"/>
        <v>z2024331</v>
      </c>
      <c r="E93" s="8" t="str">
        <f>"龙丽萍"</f>
        <v>龙丽萍</v>
      </c>
      <c r="F93" s="8" t="str">
        <f t="shared" ref="F93:F98" si="30">"女"</f>
        <v>女</v>
      </c>
      <c r="G93" s="8" t="str">
        <f>"1999-11-20"</f>
        <v>1999-11-20</v>
      </c>
      <c r="H93" s="8" t="str">
        <f t="shared" ref="H93:H99" si="31">"社会在职"</f>
        <v>社会在职</v>
      </c>
      <c r="I93" s="8" t="str">
        <f>"湖北民族大学"</f>
        <v>湖北民族大学</v>
      </c>
      <c r="J93" s="8" t="str">
        <f>"计算机科学与技术"</f>
        <v>计算机科学与技术</v>
      </c>
      <c r="K93" s="8" t="str">
        <f t="shared" si="27"/>
        <v>本科</v>
      </c>
      <c r="L93" s="8" t="str">
        <f t="shared" si="28"/>
        <v>学士</v>
      </c>
    </row>
    <row r="94" s="3" customFormat="1" ht="40" customHeight="1" spans="1:12">
      <c r="A94" s="8">
        <v>92</v>
      </c>
      <c r="B94" s="8" t="s">
        <v>106</v>
      </c>
      <c r="C94" s="8" t="s">
        <v>180</v>
      </c>
      <c r="D94" s="8" t="str">
        <f t="shared" si="26"/>
        <v>z2024331</v>
      </c>
      <c r="E94" s="8" t="str">
        <f>"梁月龙"</f>
        <v>梁月龙</v>
      </c>
      <c r="F94" s="8" t="str">
        <f t="shared" si="29"/>
        <v>男</v>
      </c>
      <c r="G94" s="8" t="str">
        <f>"2000-08-07"</f>
        <v>2000-08-07</v>
      </c>
      <c r="H94" s="8" t="str">
        <f>"应届"</f>
        <v>应届</v>
      </c>
      <c r="I94" s="8" t="str">
        <f>"湖北师范大学"</f>
        <v>湖北师范大学</v>
      </c>
      <c r="J94" s="8" t="str">
        <f>"计算机科学与技术"</f>
        <v>计算机科学与技术</v>
      </c>
      <c r="K94" s="8" t="str">
        <f t="shared" si="27"/>
        <v>本科</v>
      </c>
      <c r="L94" s="8" t="str">
        <f t="shared" si="28"/>
        <v>学士</v>
      </c>
    </row>
    <row r="95" s="3" customFormat="1" ht="40" customHeight="1" spans="1:12">
      <c r="A95" s="8">
        <v>93</v>
      </c>
      <c r="B95" s="8" t="s">
        <v>106</v>
      </c>
      <c r="C95" s="8" t="s">
        <v>180</v>
      </c>
      <c r="D95" s="8" t="str">
        <f t="shared" si="26"/>
        <v>z2024331</v>
      </c>
      <c r="E95" s="8" t="str">
        <f>"田玉珍"</f>
        <v>田玉珍</v>
      </c>
      <c r="F95" s="8" t="str">
        <f t="shared" si="30"/>
        <v>女</v>
      </c>
      <c r="G95" s="8" t="str">
        <f>"1997-05-13"</f>
        <v>1997-05-13</v>
      </c>
      <c r="H95" s="8" t="str">
        <f t="shared" si="31"/>
        <v>社会在职</v>
      </c>
      <c r="I95" s="8" t="str">
        <f>"武汉科技大学城市学院"</f>
        <v>武汉科技大学城市学院</v>
      </c>
      <c r="J95" s="8" t="str">
        <f>"软件工程"</f>
        <v>软件工程</v>
      </c>
      <c r="K95" s="8" t="str">
        <f t="shared" si="27"/>
        <v>本科</v>
      </c>
      <c r="L95" s="8" t="str">
        <f t="shared" si="28"/>
        <v>学士</v>
      </c>
    </row>
    <row r="96" s="3" customFormat="1" ht="40" customHeight="1" spans="1:12">
      <c r="A96" s="8">
        <v>94</v>
      </c>
      <c r="B96" s="8" t="s">
        <v>106</v>
      </c>
      <c r="C96" s="8" t="s">
        <v>180</v>
      </c>
      <c r="D96" s="8" t="str">
        <f t="shared" si="26"/>
        <v>z2024331</v>
      </c>
      <c r="E96" s="8" t="str">
        <f>"刘奥"</f>
        <v>刘奥</v>
      </c>
      <c r="F96" s="8" t="str">
        <f t="shared" si="29"/>
        <v>男</v>
      </c>
      <c r="G96" s="8" t="str">
        <f>"1997-02-10"</f>
        <v>1997-02-10</v>
      </c>
      <c r="H96" s="8" t="str">
        <f t="shared" si="31"/>
        <v>社会在职</v>
      </c>
      <c r="I96" s="8" t="str">
        <f>"重庆交通大学"</f>
        <v>重庆交通大学</v>
      </c>
      <c r="J96" s="8" t="str">
        <f>"计算机科学与技术"</f>
        <v>计算机科学与技术</v>
      </c>
      <c r="K96" s="8" t="str">
        <f t="shared" si="27"/>
        <v>本科</v>
      </c>
      <c r="L96" s="8" t="str">
        <f t="shared" si="28"/>
        <v>学士</v>
      </c>
    </row>
    <row r="97" s="3" customFormat="1" ht="40" customHeight="1" spans="1:12">
      <c r="A97" s="8">
        <v>95</v>
      </c>
      <c r="B97" s="8" t="s">
        <v>106</v>
      </c>
      <c r="C97" s="8" t="s">
        <v>180</v>
      </c>
      <c r="D97" s="8" t="str">
        <f t="shared" si="26"/>
        <v>z2024331</v>
      </c>
      <c r="E97" s="8" t="str">
        <f>"李晓"</f>
        <v>李晓</v>
      </c>
      <c r="F97" s="8" t="str">
        <f t="shared" si="30"/>
        <v>女</v>
      </c>
      <c r="G97" s="8" t="str">
        <f>"1997-10-24"</f>
        <v>1997-10-24</v>
      </c>
      <c r="H97" s="8" t="str">
        <f t="shared" si="31"/>
        <v>社会在职</v>
      </c>
      <c r="I97" s="8" t="str">
        <f>"重庆三峡学院"</f>
        <v>重庆三峡学院</v>
      </c>
      <c r="J97" s="8" t="str">
        <f>"软件工程"</f>
        <v>软件工程</v>
      </c>
      <c r="K97" s="8" t="str">
        <f t="shared" si="27"/>
        <v>本科</v>
      </c>
      <c r="L97" s="8" t="str">
        <f t="shared" si="28"/>
        <v>学士</v>
      </c>
    </row>
    <row r="98" s="3" customFormat="1" ht="40" customHeight="1" spans="1:12">
      <c r="A98" s="8">
        <v>96</v>
      </c>
      <c r="B98" s="8" t="s">
        <v>106</v>
      </c>
      <c r="C98" s="8" t="s">
        <v>180</v>
      </c>
      <c r="D98" s="8" t="str">
        <f t="shared" si="26"/>
        <v>z2024331</v>
      </c>
      <c r="E98" s="8" t="str">
        <f>"冉晓凤"</f>
        <v>冉晓凤</v>
      </c>
      <c r="F98" s="8" t="str">
        <f t="shared" si="30"/>
        <v>女</v>
      </c>
      <c r="G98" s="8" t="str">
        <f>"1999-05-14"</f>
        <v>1999-05-14</v>
      </c>
      <c r="H98" s="8" t="str">
        <f t="shared" si="31"/>
        <v>社会在职</v>
      </c>
      <c r="I98" s="8" t="str">
        <f>"武汉商学院"</f>
        <v>武汉商学院</v>
      </c>
      <c r="J98" s="8" t="str">
        <f>"物联网工程"</f>
        <v>物联网工程</v>
      </c>
      <c r="K98" s="8" t="str">
        <f t="shared" si="27"/>
        <v>本科</v>
      </c>
      <c r="L98" s="8" t="str">
        <f t="shared" si="28"/>
        <v>学士</v>
      </c>
    </row>
    <row r="99" s="3" customFormat="1" ht="40" customHeight="1" spans="1:12">
      <c r="A99" s="8">
        <v>97</v>
      </c>
      <c r="B99" s="8" t="s">
        <v>106</v>
      </c>
      <c r="C99" s="8" t="s">
        <v>180</v>
      </c>
      <c r="D99" s="8" t="str">
        <f t="shared" si="26"/>
        <v>z2024331</v>
      </c>
      <c r="E99" s="8" t="str">
        <f>"成国栋"</f>
        <v>成国栋</v>
      </c>
      <c r="F99" s="8" t="str">
        <f>"男"</f>
        <v>男</v>
      </c>
      <c r="G99" s="8" t="str">
        <f>"1998-01-16"</f>
        <v>1998-01-16</v>
      </c>
      <c r="H99" s="8" t="str">
        <f t="shared" si="31"/>
        <v>社会在职</v>
      </c>
      <c r="I99" s="8" t="str">
        <f>"白城师范学院"</f>
        <v>白城师范学院</v>
      </c>
      <c r="J99" s="8" t="str">
        <f>"计算机科学与技术"</f>
        <v>计算机科学与技术</v>
      </c>
      <c r="K99" s="8" t="str">
        <f t="shared" si="27"/>
        <v>本科</v>
      </c>
      <c r="L99" s="8" t="str">
        <f t="shared" si="28"/>
        <v>学士</v>
      </c>
    </row>
    <row r="100" s="3" customFormat="1" ht="40" customHeight="1" spans="1:12">
      <c r="A100" s="8">
        <v>98</v>
      </c>
      <c r="B100" s="8" t="s">
        <v>106</v>
      </c>
      <c r="C100" s="8" t="s">
        <v>191</v>
      </c>
      <c r="D100" s="8" t="s">
        <v>192</v>
      </c>
      <c r="E100" s="8" t="s">
        <v>193</v>
      </c>
      <c r="F100" s="8" t="s">
        <v>25</v>
      </c>
      <c r="G100" s="8" t="s">
        <v>194</v>
      </c>
      <c r="H100" s="8" t="s">
        <v>41</v>
      </c>
      <c r="I100" s="8" t="s">
        <v>195</v>
      </c>
      <c r="J100" s="8" t="s">
        <v>196</v>
      </c>
      <c r="K100" s="8" t="s">
        <v>22</v>
      </c>
      <c r="L100" s="8" t="s">
        <v>23</v>
      </c>
    </row>
    <row r="101" s="3" customFormat="1" ht="40" customHeight="1" spans="1:12">
      <c r="A101" s="8">
        <v>99</v>
      </c>
      <c r="B101" s="8" t="s">
        <v>106</v>
      </c>
      <c r="C101" s="8" t="s">
        <v>191</v>
      </c>
      <c r="D101" s="8" t="str">
        <f t="shared" ref="D101:D106" si="32">"z2024332"</f>
        <v>z2024332</v>
      </c>
      <c r="E101" s="8" t="str">
        <f>"吴朋林"</f>
        <v>吴朋林</v>
      </c>
      <c r="F101" s="8" t="str">
        <f t="shared" ref="F101:F106" si="33">"男"</f>
        <v>男</v>
      </c>
      <c r="G101" s="8" t="str">
        <f>"2002-01-16"</f>
        <v>2002-01-16</v>
      </c>
      <c r="H101" s="8" t="str">
        <f t="shared" ref="H101:H105" si="34">"应届"</f>
        <v>应届</v>
      </c>
      <c r="I101" s="8" t="str">
        <f>"武汉商学院"</f>
        <v>武汉商学院</v>
      </c>
      <c r="J101" s="8" t="str">
        <f t="shared" ref="J101:J105" si="35">"汽车服务工程"</f>
        <v>汽车服务工程</v>
      </c>
      <c r="K101" s="8" t="str">
        <f t="shared" ref="K101:K106" si="36">"本科"</f>
        <v>本科</v>
      </c>
      <c r="L101" s="8" t="str">
        <f t="shared" ref="L101:L106" si="37">"学士"</f>
        <v>学士</v>
      </c>
    </row>
    <row r="102" s="3" customFormat="1" ht="40" customHeight="1" spans="1:12">
      <c r="A102" s="8">
        <v>100</v>
      </c>
      <c r="B102" s="8" t="s">
        <v>106</v>
      </c>
      <c r="C102" s="8" t="s">
        <v>191</v>
      </c>
      <c r="D102" s="8" t="str">
        <f t="shared" si="32"/>
        <v>z2024332</v>
      </c>
      <c r="E102" s="8" t="str">
        <f>"吴亚圣"</f>
        <v>吴亚圣</v>
      </c>
      <c r="F102" s="8" t="str">
        <f t="shared" si="33"/>
        <v>男</v>
      </c>
      <c r="G102" s="8" t="str">
        <f>"1990-06-12"</f>
        <v>1990-06-12</v>
      </c>
      <c r="H102" s="8" t="str">
        <f t="shared" ref="H102:H106" si="38">"社会在职"</f>
        <v>社会在职</v>
      </c>
      <c r="I102" s="8" t="str">
        <f>"武汉科技大学"</f>
        <v>武汉科技大学</v>
      </c>
      <c r="J102" s="8" t="str">
        <f t="shared" si="35"/>
        <v>汽车服务工程</v>
      </c>
      <c r="K102" s="8" t="str">
        <f t="shared" si="36"/>
        <v>本科</v>
      </c>
      <c r="L102" s="8" t="str">
        <f t="shared" si="37"/>
        <v>学士</v>
      </c>
    </row>
    <row r="103" s="4" customFormat="1" ht="40" customHeight="1" spans="1:12">
      <c r="A103" s="9">
        <v>101</v>
      </c>
      <c r="B103" s="9" t="s">
        <v>106</v>
      </c>
      <c r="C103" s="9" t="s">
        <v>191</v>
      </c>
      <c r="D103" s="9" t="str">
        <f t="shared" si="32"/>
        <v>z2024332</v>
      </c>
      <c r="E103" s="9" t="str">
        <f>"董青国"</f>
        <v>董青国</v>
      </c>
      <c r="F103" s="9" t="str">
        <f t="shared" si="33"/>
        <v>男</v>
      </c>
      <c r="G103" s="9" t="str">
        <f>"1991-11-14"</f>
        <v>1991-11-14</v>
      </c>
      <c r="H103" s="9" t="str">
        <f t="shared" si="38"/>
        <v>社会在职</v>
      </c>
      <c r="I103" s="9" t="str">
        <f>"长沙理工大学"</f>
        <v>长沙理工大学</v>
      </c>
      <c r="J103" s="9" t="str">
        <f>"车辆工程"</f>
        <v>车辆工程</v>
      </c>
      <c r="K103" s="9" t="str">
        <f t="shared" si="36"/>
        <v>本科</v>
      </c>
      <c r="L103" s="9" t="str">
        <f t="shared" si="37"/>
        <v>学士</v>
      </c>
    </row>
    <row r="104" s="3" customFormat="1" ht="40" customHeight="1" spans="1:12">
      <c r="A104" s="8">
        <v>102</v>
      </c>
      <c r="B104" s="8" t="s">
        <v>106</v>
      </c>
      <c r="C104" s="8" t="s">
        <v>191</v>
      </c>
      <c r="D104" s="8" t="str">
        <f t="shared" si="32"/>
        <v>z2024332</v>
      </c>
      <c r="E104" s="8" t="str">
        <f>"许磊"</f>
        <v>许磊</v>
      </c>
      <c r="F104" s="8" t="str">
        <f t="shared" si="33"/>
        <v>男</v>
      </c>
      <c r="G104" s="8" t="str">
        <f>"1998-08-21"</f>
        <v>1998-08-21</v>
      </c>
      <c r="H104" s="8" t="str">
        <f t="shared" si="34"/>
        <v>应届</v>
      </c>
      <c r="I104" s="8" t="str">
        <f>"湖北汽车工业学院"</f>
        <v>湖北汽车工业学院</v>
      </c>
      <c r="J104" s="8" t="str">
        <f>"车辆工程"</f>
        <v>车辆工程</v>
      </c>
      <c r="K104" s="8" t="str">
        <f t="shared" si="36"/>
        <v>本科</v>
      </c>
      <c r="L104" s="8" t="str">
        <f t="shared" si="37"/>
        <v>学士</v>
      </c>
    </row>
    <row r="105" s="3" customFormat="1" ht="40" customHeight="1" spans="1:12">
      <c r="A105" s="8">
        <v>103</v>
      </c>
      <c r="B105" s="8" t="s">
        <v>106</v>
      </c>
      <c r="C105" s="8" t="s">
        <v>191</v>
      </c>
      <c r="D105" s="8" t="str">
        <f t="shared" si="32"/>
        <v>z2024332</v>
      </c>
      <c r="E105" s="8" t="str">
        <f>"王世威"</f>
        <v>王世威</v>
      </c>
      <c r="F105" s="8" t="str">
        <f t="shared" si="33"/>
        <v>男</v>
      </c>
      <c r="G105" s="8" t="str">
        <f>"2000-09-20"</f>
        <v>2000-09-20</v>
      </c>
      <c r="H105" s="8" t="str">
        <f t="shared" si="34"/>
        <v>应届</v>
      </c>
      <c r="I105" s="8" t="str">
        <f>"武汉华夏理工学院"</f>
        <v>武汉华夏理工学院</v>
      </c>
      <c r="J105" s="8" t="str">
        <f t="shared" si="35"/>
        <v>汽车服务工程</v>
      </c>
      <c r="K105" s="8" t="str">
        <f t="shared" si="36"/>
        <v>本科</v>
      </c>
      <c r="L105" s="8" t="str">
        <f t="shared" si="37"/>
        <v>学士</v>
      </c>
    </row>
    <row r="106" s="3" customFormat="1" ht="40" customHeight="1" spans="1:12">
      <c r="A106" s="8">
        <v>104</v>
      </c>
      <c r="B106" s="8" t="s">
        <v>106</v>
      </c>
      <c r="C106" s="8" t="s">
        <v>191</v>
      </c>
      <c r="D106" s="8" t="str">
        <f t="shared" si="32"/>
        <v>z2024332</v>
      </c>
      <c r="E106" s="8" t="str">
        <f>"曾湖森"</f>
        <v>曾湖森</v>
      </c>
      <c r="F106" s="8" t="str">
        <f t="shared" si="33"/>
        <v>男</v>
      </c>
      <c r="G106" s="8" t="str">
        <f>"2000-06-12"</f>
        <v>2000-06-12</v>
      </c>
      <c r="H106" s="8" t="str">
        <f t="shared" si="38"/>
        <v>社会在职</v>
      </c>
      <c r="I106" s="8" t="str">
        <f>"燕山大学"</f>
        <v>燕山大学</v>
      </c>
      <c r="J106" s="8" t="str">
        <f>"车辆工程（卓越计划）"</f>
        <v>车辆工程（卓越计划）</v>
      </c>
      <c r="K106" s="8" t="str">
        <f t="shared" si="36"/>
        <v>本科</v>
      </c>
      <c r="L106" s="8" t="str">
        <f t="shared" si="37"/>
        <v>学士</v>
      </c>
    </row>
    <row r="107" s="3" customFormat="1" ht="40" customHeight="1" spans="1:12">
      <c r="A107" s="8">
        <v>105</v>
      </c>
      <c r="B107" s="8" t="s">
        <v>106</v>
      </c>
      <c r="C107" s="8" t="s">
        <v>197</v>
      </c>
      <c r="D107" s="8" t="s">
        <v>198</v>
      </c>
      <c r="E107" s="8" t="s">
        <v>199</v>
      </c>
      <c r="F107" s="8" t="s">
        <v>25</v>
      </c>
      <c r="G107" s="8" t="s">
        <v>200</v>
      </c>
      <c r="H107" s="8" t="s">
        <v>41</v>
      </c>
      <c r="I107" s="8" t="s">
        <v>201</v>
      </c>
      <c r="J107" s="8" t="s">
        <v>202</v>
      </c>
      <c r="K107" s="8" t="s">
        <v>22</v>
      </c>
      <c r="L107" s="8" t="s">
        <v>23</v>
      </c>
    </row>
    <row r="108" s="3" customFormat="1" ht="40" customHeight="1" spans="1:12">
      <c r="A108" s="8">
        <v>106</v>
      </c>
      <c r="B108" s="8" t="s">
        <v>106</v>
      </c>
      <c r="C108" s="8" t="s">
        <v>197</v>
      </c>
      <c r="D108" s="8" t="s">
        <v>198</v>
      </c>
      <c r="E108" s="8" t="s">
        <v>203</v>
      </c>
      <c r="F108" s="8" t="s">
        <v>25</v>
      </c>
      <c r="G108" s="8" t="s">
        <v>204</v>
      </c>
      <c r="H108" s="8" t="s">
        <v>19</v>
      </c>
      <c r="I108" s="8" t="s">
        <v>205</v>
      </c>
      <c r="J108" s="8" t="s">
        <v>206</v>
      </c>
      <c r="K108" s="8" t="s">
        <v>22</v>
      </c>
      <c r="L108" s="8" t="s">
        <v>23</v>
      </c>
    </row>
    <row r="109" s="3" customFormat="1" ht="40" customHeight="1" spans="1:12">
      <c r="A109" s="8">
        <v>107</v>
      </c>
      <c r="B109" s="8" t="s">
        <v>106</v>
      </c>
      <c r="C109" s="8" t="s">
        <v>197</v>
      </c>
      <c r="D109" s="8" t="str">
        <f>"z2024333"</f>
        <v>z2024333</v>
      </c>
      <c r="E109" s="8" t="str">
        <f>"黄言"</f>
        <v>黄言</v>
      </c>
      <c r="F109" s="8" t="str">
        <f>"女"</f>
        <v>女</v>
      </c>
      <c r="G109" s="8" t="str">
        <f>"1999-11-16"</f>
        <v>1999-11-16</v>
      </c>
      <c r="H109" s="8" t="str">
        <f>"社会在职"</f>
        <v>社会在职</v>
      </c>
      <c r="I109" s="8" t="str">
        <f>"汉口学院"</f>
        <v>汉口学院</v>
      </c>
      <c r="J109" s="8" t="str">
        <f>"电气工程及其自动化"</f>
        <v>电气工程及其自动化</v>
      </c>
      <c r="K109" s="8" t="str">
        <f>"本科"</f>
        <v>本科</v>
      </c>
      <c r="L109" s="8" t="str">
        <f>"学士"</f>
        <v>学士</v>
      </c>
    </row>
    <row r="110" s="3" customFormat="1" ht="40" customHeight="1" spans="1:12">
      <c r="A110" s="8">
        <v>108</v>
      </c>
      <c r="B110" s="8" t="s">
        <v>106</v>
      </c>
      <c r="C110" s="8" t="s">
        <v>197</v>
      </c>
      <c r="D110" s="8" t="str">
        <f>"z2024333"</f>
        <v>z2024333</v>
      </c>
      <c r="E110" s="8" t="str">
        <f>"向雪梅"</f>
        <v>向雪梅</v>
      </c>
      <c r="F110" s="8" t="str">
        <f>"女"</f>
        <v>女</v>
      </c>
      <c r="G110" s="8" t="str">
        <f>"1995-11-16"</f>
        <v>1995-11-16</v>
      </c>
      <c r="H110" s="8" t="str">
        <f>"社会在职"</f>
        <v>社会在职</v>
      </c>
      <c r="I110" s="8" t="str">
        <f>"湖北工程学院"</f>
        <v>湖北工程学院</v>
      </c>
      <c r="J110" s="8" t="str">
        <f>"电子信息工程"</f>
        <v>电子信息工程</v>
      </c>
      <c r="K110" s="8" t="str">
        <f>"本科"</f>
        <v>本科</v>
      </c>
      <c r="L110" s="8" t="str">
        <f>"学士"</f>
        <v>学士</v>
      </c>
    </row>
    <row r="111" s="3" customFormat="1" ht="40" customHeight="1" spans="1:12">
      <c r="A111" s="8">
        <v>109</v>
      </c>
      <c r="B111" s="8" t="s">
        <v>106</v>
      </c>
      <c r="C111" s="8" t="s">
        <v>197</v>
      </c>
      <c r="D111" s="8" t="str">
        <f>"z2024333"</f>
        <v>z2024333</v>
      </c>
      <c r="E111" s="8" t="str">
        <f>"王新建"</f>
        <v>王新建</v>
      </c>
      <c r="F111" s="8" t="str">
        <f>"男"</f>
        <v>男</v>
      </c>
      <c r="G111" s="8" t="str">
        <f>"1993-06-30"</f>
        <v>1993-06-30</v>
      </c>
      <c r="H111" s="8" t="str">
        <f>"社会在职"</f>
        <v>社会在职</v>
      </c>
      <c r="I111" s="8" t="str">
        <f>"湖南师范大学"</f>
        <v>湖南师范大学</v>
      </c>
      <c r="J111" s="8" t="str">
        <f>"应用电子技术教育"</f>
        <v>应用电子技术教育</v>
      </c>
      <c r="K111" s="8" t="str">
        <f>"本科"</f>
        <v>本科</v>
      </c>
      <c r="L111" s="8" t="str">
        <f>"学士"</f>
        <v>学士</v>
      </c>
    </row>
    <row r="112" s="3" customFormat="1" ht="40" customHeight="1" spans="1:12">
      <c r="A112" s="8">
        <v>110</v>
      </c>
      <c r="B112" s="8" t="s">
        <v>106</v>
      </c>
      <c r="C112" s="8" t="s">
        <v>197</v>
      </c>
      <c r="D112" s="8" t="s">
        <v>198</v>
      </c>
      <c r="E112" s="8" t="s">
        <v>207</v>
      </c>
      <c r="F112" s="8" t="s">
        <v>25</v>
      </c>
      <c r="G112" s="8" t="s">
        <v>208</v>
      </c>
      <c r="H112" s="8" t="s">
        <v>41</v>
      </c>
      <c r="I112" s="8" t="s">
        <v>98</v>
      </c>
      <c r="J112" s="8" t="s">
        <v>209</v>
      </c>
      <c r="K112" s="8" t="s">
        <v>210</v>
      </c>
      <c r="L112" s="8" t="s">
        <v>211</v>
      </c>
    </row>
    <row r="113" s="3" customFormat="1" ht="40" customHeight="1" spans="1:12">
      <c r="A113" s="8">
        <v>111</v>
      </c>
      <c r="B113" s="8" t="s">
        <v>106</v>
      </c>
      <c r="C113" s="8" t="s">
        <v>197</v>
      </c>
      <c r="D113" s="8" t="s">
        <v>198</v>
      </c>
      <c r="E113" s="8" t="s">
        <v>212</v>
      </c>
      <c r="F113" s="8" t="s">
        <v>25</v>
      </c>
      <c r="G113" s="8" t="s">
        <v>213</v>
      </c>
      <c r="H113" s="8" t="s">
        <v>41</v>
      </c>
      <c r="I113" s="8" t="s">
        <v>98</v>
      </c>
      <c r="J113" s="8" t="s">
        <v>214</v>
      </c>
      <c r="K113" s="8" t="s">
        <v>210</v>
      </c>
      <c r="L113" s="8" t="s">
        <v>211</v>
      </c>
    </row>
    <row r="114" s="4" customFormat="1" ht="40" customHeight="1" spans="1:12">
      <c r="A114" s="9">
        <v>112</v>
      </c>
      <c r="B114" s="9" t="s">
        <v>106</v>
      </c>
      <c r="C114" s="9" t="s">
        <v>197</v>
      </c>
      <c r="D114" s="9" t="str">
        <f>"z2024333"</f>
        <v>z2024333</v>
      </c>
      <c r="E114" s="9" t="str">
        <f>"欧中熊"</f>
        <v>欧中熊</v>
      </c>
      <c r="F114" s="9" t="str">
        <f>"男"</f>
        <v>男</v>
      </c>
      <c r="G114" s="9" t="str">
        <f>"1992-03-05"</f>
        <v>1992-03-05</v>
      </c>
      <c r="H114" s="9" t="str">
        <f t="shared" ref="H114:H124" si="39">"社会在职"</f>
        <v>社会在职</v>
      </c>
      <c r="I114" s="9" t="str">
        <f>"长江师范学院"</f>
        <v>长江师范学院</v>
      </c>
      <c r="J114" s="9" t="str">
        <f>"电子信息科学与技术"</f>
        <v>电子信息科学与技术</v>
      </c>
      <c r="K114" s="9" t="str">
        <f t="shared" ref="K114:K126" si="40">"本科"</f>
        <v>本科</v>
      </c>
      <c r="L114" s="9" t="str">
        <f t="shared" ref="L114:L126" si="41">"学士"</f>
        <v>学士</v>
      </c>
    </row>
    <row r="115" s="3" customFormat="1" ht="40" customHeight="1" spans="1:12">
      <c r="A115" s="8">
        <v>113</v>
      </c>
      <c r="B115" s="9" t="s">
        <v>106</v>
      </c>
      <c r="C115" s="9" t="s">
        <v>215</v>
      </c>
      <c r="D115" s="9" t="str">
        <f t="shared" ref="D115:D121" si="42">"z2024334"</f>
        <v>z2024334</v>
      </c>
      <c r="E115" s="9" t="str">
        <f>"李秋林"</f>
        <v>李秋林</v>
      </c>
      <c r="F115" s="9" t="str">
        <f t="shared" ref="F115:F117" si="43">"女"</f>
        <v>女</v>
      </c>
      <c r="G115" s="9" t="str">
        <f>"1999-07-30"</f>
        <v>1999-07-30</v>
      </c>
      <c r="H115" s="9" t="str">
        <f>"应届"</f>
        <v>应届</v>
      </c>
      <c r="I115" s="9" t="str">
        <f t="shared" ref="I115:I120" si="44">"长江大学"</f>
        <v>长江大学</v>
      </c>
      <c r="J115" s="9" t="str">
        <f>"农学"</f>
        <v>农学</v>
      </c>
      <c r="K115" s="9" t="str">
        <f t="shared" si="40"/>
        <v>本科</v>
      </c>
      <c r="L115" s="9" t="str">
        <f t="shared" si="41"/>
        <v>学士</v>
      </c>
    </row>
    <row r="116" s="3" customFormat="1" ht="40" customHeight="1" spans="1:12">
      <c r="A116" s="8">
        <v>114</v>
      </c>
      <c r="B116" s="9" t="s">
        <v>106</v>
      </c>
      <c r="C116" s="9" t="s">
        <v>215</v>
      </c>
      <c r="D116" s="9" t="str">
        <f t="shared" si="42"/>
        <v>z2024334</v>
      </c>
      <c r="E116" s="9" t="str">
        <f>"胡齐凤"</f>
        <v>胡齐凤</v>
      </c>
      <c r="F116" s="9" t="str">
        <f t="shared" si="43"/>
        <v>女</v>
      </c>
      <c r="G116" s="9" t="str">
        <f>"1996-09-10"</f>
        <v>1996-09-10</v>
      </c>
      <c r="H116" s="9" t="str">
        <f t="shared" si="39"/>
        <v>社会在职</v>
      </c>
      <c r="I116" s="9" t="str">
        <f>"南京农业大学"</f>
        <v>南京农业大学</v>
      </c>
      <c r="J116" s="9" t="str">
        <f>"农艺与种业"</f>
        <v>农艺与种业</v>
      </c>
      <c r="K116" s="9" t="str">
        <f>"硕士研究生"</f>
        <v>硕士研究生</v>
      </c>
      <c r="L116" s="9" t="str">
        <f>"硕士"</f>
        <v>硕士</v>
      </c>
    </row>
    <row r="117" s="3" customFormat="1" ht="40" customHeight="1" spans="1:12">
      <c r="A117" s="8">
        <v>115</v>
      </c>
      <c r="B117" s="9" t="s">
        <v>106</v>
      </c>
      <c r="C117" s="9" t="s">
        <v>215</v>
      </c>
      <c r="D117" s="9" t="str">
        <f t="shared" si="42"/>
        <v>z2024334</v>
      </c>
      <c r="E117" s="9" t="str">
        <f>"张烨"</f>
        <v>张烨</v>
      </c>
      <c r="F117" s="9" t="str">
        <f t="shared" si="43"/>
        <v>女</v>
      </c>
      <c r="G117" s="9" t="str">
        <f>"2001-07-24"</f>
        <v>2001-07-24</v>
      </c>
      <c r="H117" s="9" t="str">
        <f>"应届"</f>
        <v>应届</v>
      </c>
      <c r="I117" s="9" t="str">
        <f t="shared" si="44"/>
        <v>长江大学</v>
      </c>
      <c r="J117" s="9" t="str">
        <f>"园艺"</f>
        <v>园艺</v>
      </c>
      <c r="K117" s="9" t="str">
        <f t="shared" si="40"/>
        <v>本科</v>
      </c>
      <c r="L117" s="9" t="str">
        <f t="shared" si="41"/>
        <v>学士</v>
      </c>
    </row>
    <row r="118" s="3" customFormat="1" ht="40" customHeight="1" spans="1:12">
      <c r="A118" s="8">
        <v>116</v>
      </c>
      <c r="B118" s="9" t="s">
        <v>106</v>
      </c>
      <c r="C118" s="9" t="s">
        <v>215</v>
      </c>
      <c r="D118" s="9" t="str">
        <f t="shared" si="42"/>
        <v>z2024334</v>
      </c>
      <c r="E118" s="9" t="str">
        <f>"李浩"</f>
        <v>李浩</v>
      </c>
      <c r="F118" s="9" t="str">
        <f t="shared" ref="F118:F121" si="45">"男"</f>
        <v>男</v>
      </c>
      <c r="G118" s="9" t="str">
        <f>"1997-06-08"</f>
        <v>1997-06-08</v>
      </c>
      <c r="H118" s="9" t="str">
        <f t="shared" si="39"/>
        <v>社会在职</v>
      </c>
      <c r="I118" s="9" t="str">
        <f>"湖北民族大学"</f>
        <v>湖北民族大学</v>
      </c>
      <c r="J118" s="9" t="str">
        <f>"生物科学"</f>
        <v>生物科学</v>
      </c>
      <c r="K118" s="9" t="str">
        <f t="shared" si="40"/>
        <v>本科</v>
      </c>
      <c r="L118" s="9" t="str">
        <f t="shared" si="41"/>
        <v>学士</v>
      </c>
    </row>
    <row r="119" s="3" customFormat="1" ht="40" customHeight="1" spans="1:12">
      <c r="A119" s="8">
        <v>117</v>
      </c>
      <c r="B119" s="9" t="s">
        <v>106</v>
      </c>
      <c r="C119" s="9" t="s">
        <v>215</v>
      </c>
      <c r="D119" s="9" t="str">
        <f t="shared" si="42"/>
        <v>z2024334</v>
      </c>
      <c r="E119" s="9" t="str">
        <f>"田荣"</f>
        <v>田荣</v>
      </c>
      <c r="F119" s="9" t="str">
        <f t="shared" ref="F119:F126" si="46">"女"</f>
        <v>女</v>
      </c>
      <c r="G119" s="9" t="str">
        <f>"1999-10-30"</f>
        <v>1999-10-30</v>
      </c>
      <c r="H119" s="9" t="str">
        <f t="shared" si="39"/>
        <v>社会在职</v>
      </c>
      <c r="I119" s="9" t="str">
        <f>"北方民族大学"</f>
        <v>北方民族大学</v>
      </c>
      <c r="J119" s="9" t="str">
        <f>"生物工程"</f>
        <v>生物工程</v>
      </c>
      <c r="K119" s="9" t="str">
        <f t="shared" si="40"/>
        <v>本科</v>
      </c>
      <c r="L119" s="9" t="str">
        <f t="shared" si="41"/>
        <v>学士</v>
      </c>
    </row>
    <row r="120" s="3" customFormat="1" ht="40" customHeight="1" spans="1:12">
      <c r="A120" s="8">
        <v>118</v>
      </c>
      <c r="B120" s="9" t="s">
        <v>106</v>
      </c>
      <c r="C120" s="9" t="s">
        <v>215</v>
      </c>
      <c r="D120" s="9" t="str">
        <f t="shared" si="42"/>
        <v>z2024334</v>
      </c>
      <c r="E120" s="9" t="str">
        <f>"杨文韬"</f>
        <v>杨文韬</v>
      </c>
      <c r="F120" s="9" t="str">
        <f t="shared" si="45"/>
        <v>男</v>
      </c>
      <c r="G120" s="9" t="str">
        <f>"1998-09-29"</f>
        <v>1998-09-29</v>
      </c>
      <c r="H120" s="9" t="str">
        <f t="shared" si="39"/>
        <v>社会在职</v>
      </c>
      <c r="I120" s="9" t="str">
        <f t="shared" si="44"/>
        <v>长江大学</v>
      </c>
      <c r="J120" s="9" t="str">
        <f>"植物保护"</f>
        <v>植物保护</v>
      </c>
      <c r="K120" s="9" t="str">
        <f t="shared" si="40"/>
        <v>本科</v>
      </c>
      <c r="L120" s="9" t="str">
        <f t="shared" si="41"/>
        <v>学士</v>
      </c>
    </row>
    <row r="121" s="3" customFormat="1" ht="40" customHeight="1" spans="1:12">
      <c r="A121" s="8">
        <v>119</v>
      </c>
      <c r="B121" s="9" t="s">
        <v>106</v>
      </c>
      <c r="C121" s="9" t="s">
        <v>215</v>
      </c>
      <c r="D121" s="9" t="str">
        <f t="shared" si="42"/>
        <v>z2024334</v>
      </c>
      <c r="E121" s="9" t="str">
        <f>"付泽龙"</f>
        <v>付泽龙</v>
      </c>
      <c r="F121" s="9" t="str">
        <f t="shared" si="45"/>
        <v>男</v>
      </c>
      <c r="G121" s="9" t="str">
        <f>"1988-08-18"</f>
        <v>1988-08-18</v>
      </c>
      <c r="H121" s="9" t="str">
        <f t="shared" si="39"/>
        <v>社会在职</v>
      </c>
      <c r="I121" s="9" t="str">
        <f>"湖北民族学院"</f>
        <v>湖北民族学院</v>
      </c>
      <c r="J121" s="9" t="str">
        <f>"生物工程"</f>
        <v>生物工程</v>
      </c>
      <c r="K121" s="9" t="str">
        <f t="shared" si="40"/>
        <v>本科</v>
      </c>
      <c r="L121" s="9" t="str">
        <f t="shared" si="41"/>
        <v>学士</v>
      </c>
    </row>
    <row r="122" s="3" customFormat="1" ht="40" customHeight="1" spans="1:12">
      <c r="A122" s="8">
        <v>120</v>
      </c>
      <c r="B122" s="9" t="s">
        <v>106</v>
      </c>
      <c r="C122" s="9" t="s">
        <v>216</v>
      </c>
      <c r="D122" s="9" t="str">
        <f t="shared" ref="D122:D126" si="47">"z2024335"</f>
        <v>z2024335</v>
      </c>
      <c r="E122" s="9" t="str">
        <f>"向美丹"</f>
        <v>向美丹</v>
      </c>
      <c r="F122" s="9" t="str">
        <f t="shared" si="46"/>
        <v>女</v>
      </c>
      <c r="G122" s="9" t="str">
        <f>"1992-12-17"</f>
        <v>1992-12-17</v>
      </c>
      <c r="H122" s="9" t="str">
        <f t="shared" si="39"/>
        <v>社会在职</v>
      </c>
      <c r="I122" s="9" t="str">
        <f>"湖北民族学院"</f>
        <v>湖北民族学院</v>
      </c>
      <c r="J122" s="9" t="str">
        <f t="shared" ref="J122:J126" si="48">"旅游管理"</f>
        <v>旅游管理</v>
      </c>
      <c r="K122" s="9" t="str">
        <f t="shared" si="40"/>
        <v>本科</v>
      </c>
      <c r="L122" s="9" t="str">
        <f t="shared" si="41"/>
        <v>学士</v>
      </c>
    </row>
    <row r="123" s="3" customFormat="1" ht="40" customHeight="1" spans="1:12">
      <c r="A123" s="8">
        <v>121</v>
      </c>
      <c r="B123" s="9" t="s">
        <v>106</v>
      </c>
      <c r="C123" s="9" t="s">
        <v>216</v>
      </c>
      <c r="D123" s="9" t="str">
        <f t="shared" si="47"/>
        <v>z2024335</v>
      </c>
      <c r="E123" s="9" t="str">
        <f>"李庆"</f>
        <v>李庆</v>
      </c>
      <c r="F123" s="9" t="str">
        <f t="shared" si="46"/>
        <v>女</v>
      </c>
      <c r="G123" s="9" t="str">
        <f>"1998-07-10"</f>
        <v>1998-07-10</v>
      </c>
      <c r="H123" s="9" t="str">
        <f t="shared" si="39"/>
        <v>社会在职</v>
      </c>
      <c r="I123" s="9" t="str">
        <f>"湖北汽车工业学院"</f>
        <v>湖北汽车工业学院</v>
      </c>
      <c r="J123" s="9" t="str">
        <f t="shared" si="48"/>
        <v>旅游管理</v>
      </c>
      <c r="K123" s="9" t="str">
        <f t="shared" si="40"/>
        <v>本科</v>
      </c>
      <c r="L123" s="9" t="str">
        <f t="shared" si="41"/>
        <v>学士</v>
      </c>
    </row>
    <row r="124" s="3" customFormat="1" ht="40" customHeight="1" spans="1:12">
      <c r="A124" s="8">
        <v>122</v>
      </c>
      <c r="B124" s="9" t="s">
        <v>106</v>
      </c>
      <c r="C124" s="9" t="s">
        <v>216</v>
      </c>
      <c r="D124" s="9" t="str">
        <f t="shared" si="47"/>
        <v>z2024335</v>
      </c>
      <c r="E124" s="9" t="str">
        <f>"张恩静"</f>
        <v>张恩静</v>
      </c>
      <c r="F124" s="9" t="str">
        <f t="shared" si="46"/>
        <v>女</v>
      </c>
      <c r="G124" s="9" t="str">
        <f>"1994-09-27"</f>
        <v>1994-09-27</v>
      </c>
      <c r="H124" s="9" t="str">
        <f t="shared" si="39"/>
        <v>社会在职</v>
      </c>
      <c r="I124" s="9" t="str">
        <f>"三峡大学科技学院"</f>
        <v>三峡大学科技学院</v>
      </c>
      <c r="J124" s="9" t="str">
        <f t="shared" si="48"/>
        <v>旅游管理</v>
      </c>
      <c r="K124" s="9" t="str">
        <f t="shared" si="40"/>
        <v>本科</v>
      </c>
      <c r="L124" s="9" t="str">
        <f t="shared" si="41"/>
        <v>学士</v>
      </c>
    </row>
    <row r="125" s="3" customFormat="1" ht="40" customHeight="1" spans="1:12">
      <c r="A125" s="8">
        <v>123</v>
      </c>
      <c r="B125" s="9" t="s">
        <v>106</v>
      </c>
      <c r="C125" s="9" t="s">
        <v>216</v>
      </c>
      <c r="D125" s="9" t="str">
        <f t="shared" si="47"/>
        <v>z2024335</v>
      </c>
      <c r="E125" s="9" t="str">
        <f>"封世璐"</f>
        <v>封世璐</v>
      </c>
      <c r="F125" s="9" t="str">
        <f t="shared" si="46"/>
        <v>女</v>
      </c>
      <c r="G125" s="9" t="str">
        <f>"2002-03-08"</f>
        <v>2002-03-08</v>
      </c>
      <c r="H125" s="9" t="str">
        <f>"应届"</f>
        <v>应届</v>
      </c>
      <c r="I125" s="9" t="str">
        <f>"汉江师范学院"</f>
        <v>汉江师范学院</v>
      </c>
      <c r="J125" s="9" t="str">
        <f t="shared" si="48"/>
        <v>旅游管理</v>
      </c>
      <c r="K125" s="9" t="str">
        <f t="shared" si="40"/>
        <v>本科</v>
      </c>
      <c r="L125" s="9" t="str">
        <f t="shared" si="41"/>
        <v>学士</v>
      </c>
    </row>
    <row r="126" s="3" customFormat="1" ht="40" customHeight="1" spans="1:12">
      <c r="A126" s="8">
        <v>124</v>
      </c>
      <c r="B126" s="9" t="s">
        <v>106</v>
      </c>
      <c r="C126" s="9" t="s">
        <v>216</v>
      </c>
      <c r="D126" s="9" t="str">
        <f t="shared" si="47"/>
        <v>z2024335</v>
      </c>
      <c r="E126" s="9" t="str">
        <f>"欧阳梅芳"</f>
        <v>欧阳梅芳</v>
      </c>
      <c r="F126" s="9" t="str">
        <f t="shared" si="46"/>
        <v>女</v>
      </c>
      <c r="G126" s="9" t="str">
        <f>"1999-04-14"</f>
        <v>1999-04-14</v>
      </c>
      <c r="H126" s="9" t="str">
        <f>"社会在职"</f>
        <v>社会在职</v>
      </c>
      <c r="I126" s="9" t="str">
        <f>"武汉轻工大学"</f>
        <v>武汉轻工大学</v>
      </c>
      <c r="J126" s="9" t="str">
        <f t="shared" si="48"/>
        <v>旅游管理</v>
      </c>
      <c r="K126" s="9" t="str">
        <f t="shared" si="40"/>
        <v>本科</v>
      </c>
      <c r="L126" s="9" t="str">
        <f t="shared" si="41"/>
        <v>学士</v>
      </c>
    </row>
    <row r="127" s="3" customFormat="1" ht="40" customHeight="1" spans="1:12">
      <c r="A127" s="8">
        <v>125</v>
      </c>
      <c r="B127" s="8" t="s">
        <v>106</v>
      </c>
      <c r="C127" s="8" t="s">
        <v>217</v>
      </c>
      <c r="D127" s="8" t="s">
        <v>218</v>
      </c>
      <c r="E127" s="8" t="s">
        <v>219</v>
      </c>
      <c r="F127" s="8" t="s">
        <v>17</v>
      </c>
      <c r="G127" s="8" t="s">
        <v>220</v>
      </c>
      <c r="H127" s="8" t="s">
        <v>41</v>
      </c>
      <c r="I127" s="8" t="s">
        <v>20</v>
      </c>
      <c r="J127" s="8" t="s">
        <v>221</v>
      </c>
      <c r="K127" s="8" t="s">
        <v>22</v>
      </c>
      <c r="L127" s="8" t="s">
        <v>23</v>
      </c>
    </row>
    <row r="128" s="3" customFormat="1" ht="40" customHeight="1" spans="1:12">
      <c r="A128" s="8">
        <v>126</v>
      </c>
      <c r="B128" s="8" t="s">
        <v>106</v>
      </c>
      <c r="C128" s="8" t="s">
        <v>217</v>
      </c>
      <c r="D128" s="8" t="s">
        <v>218</v>
      </c>
      <c r="E128" s="8" t="s">
        <v>222</v>
      </c>
      <c r="F128" s="8" t="s">
        <v>17</v>
      </c>
      <c r="G128" s="8" t="s">
        <v>223</v>
      </c>
      <c r="H128" s="8" t="s">
        <v>41</v>
      </c>
      <c r="I128" s="8" t="s">
        <v>224</v>
      </c>
      <c r="J128" s="8" t="s">
        <v>225</v>
      </c>
      <c r="K128" s="8" t="s">
        <v>22</v>
      </c>
      <c r="L128" s="8" t="s">
        <v>23</v>
      </c>
    </row>
    <row r="129" s="3" customFormat="1" ht="40" customHeight="1" spans="1:12">
      <c r="A129" s="8">
        <v>127</v>
      </c>
      <c r="B129" s="8" t="s">
        <v>106</v>
      </c>
      <c r="C129" s="8" t="s">
        <v>217</v>
      </c>
      <c r="D129" s="8" t="s">
        <v>218</v>
      </c>
      <c r="E129" s="8" t="s">
        <v>226</v>
      </c>
      <c r="F129" s="8" t="s">
        <v>17</v>
      </c>
      <c r="G129" s="8" t="s">
        <v>227</v>
      </c>
      <c r="H129" s="8" t="s">
        <v>19</v>
      </c>
      <c r="I129" s="8" t="s">
        <v>228</v>
      </c>
      <c r="J129" s="8" t="s">
        <v>221</v>
      </c>
      <c r="K129" s="8" t="s">
        <v>22</v>
      </c>
      <c r="L129" s="8" t="s">
        <v>23</v>
      </c>
    </row>
    <row r="130" s="3" customFormat="1" ht="40" customHeight="1" spans="1:12">
      <c r="A130" s="8">
        <v>128</v>
      </c>
      <c r="B130" s="8" t="s">
        <v>106</v>
      </c>
      <c r="C130" s="8" t="s">
        <v>217</v>
      </c>
      <c r="D130" s="8" t="str">
        <f t="shared" ref="D130:D133" si="49">"z2024336"</f>
        <v>z2024336</v>
      </c>
      <c r="E130" s="8" t="str">
        <f>"谭海蕊"</f>
        <v>谭海蕊</v>
      </c>
      <c r="F130" s="8" t="str">
        <f t="shared" ref="F130:F132" si="50">"女"</f>
        <v>女</v>
      </c>
      <c r="G130" s="8" t="str">
        <f>"2000-02-16"</f>
        <v>2000-02-16</v>
      </c>
      <c r="H130" s="8" t="str">
        <f t="shared" ref="H130:H133" si="51">"社会在职"</f>
        <v>社会在职</v>
      </c>
      <c r="I130" s="8" t="str">
        <f>"汉江师范学院"</f>
        <v>汉江师范学院</v>
      </c>
      <c r="J130" s="8" t="str">
        <f t="shared" ref="J130:J133" si="52">"绘画"</f>
        <v>绘画</v>
      </c>
      <c r="K130" s="8" t="str">
        <f t="shared" ref="K130:K133" si="53">"本科"</f>
        <v>本科</v>
      </c>
      <c r="L130" s="8" t="str">
        <f t="shared" ref="L130:L133" si="54">"学士"</f>
        <v>学士</v>
      </c>
    </row>
    <row r="131" s="3" customFormat="1" ht="40" customHeight="1" spans="1:12">
      <c r="A131" s="8">
        <v>129</v>
      </c>
      <c r="B131" s="8" t="s">
        <v>106</v>
      </c>
      <c r="C131" s="8" t="s">
        <v>217</v>
      </c>
      <c r="D131" s="8" t="str">
        <f t="shared" si="49"/>
        <v>z2024336</v>
      </c>
      <c r="E131" s="8" t="str">
        <f>"赵璐"</f>
        <v>赵璐</v>
      </c>
      <c r="F131" s="8" t="str">
        <f t="shared" si="50"/>
        <v>女</v>
      </c>
      <c r="G131" s="8" t="str">
        <f>"2000-05-08"</f>
        <v>2000-05-08</v>
      </c>
      <c r="H131" s="8" t="str">
        <f t="shared" si="51"/>
        <v>社会在职</v>
      </c>
      <c r="I131" s="8" t="str">
        <f>"湖北文理学院"</f>
        <v>湖北文理学院</v>
      </c>
      <c r="J131" s="8" t="str">
        <f t="shared" si="52"/>
        <v>绘画</v>
      </c>
      <c r="K131" s="8" t="str">
        <f t="shared" si="53"/>
        <v>本科</v>
      </c>
      <c r="L131" s="8" t="str">
        <f t="shared" si="54"/>
        <v>学士</v>
      </c>
    </row>
    <row r="132" s="3" customFormat="1" ht="40" customHeight="1" spans="1:12">
      <c r="A132" s="8">
        <v>130</v>
      </c>
      <c r="B132" s="8" t="s">
        <v>106</v>
      </c>
      <c r="C132" s="8" t="s">
        <v>217</v>
      </c>
      <c r="D132" s="8" t="str">
        <f t="shared" si="49"/>
        <v>z2024336</v>
      </c>
      <c r="E132" s="8" t="str">
        <f>"黄硕"</f>
        <v>黄硕</v>
      </c>
      <c r="F132" s="8" t="str">
        <f t="shared" si="50"/>
        <v>女</v>
      </c>
      <c r="G132" s="8" t="str">
        <f>"1999-11-04"</f>
        <v>1999-11-04</v>
      </c>
      <c r="H132" s="8" t="str">
        <f t="shared" si="51"/>
        <v>社会在职</v>
      </c>
      <c r="I132" s="8" t="str">
        <f>"湖北民族大学"</f>
        <v>湖北民族大学</v>
      </c>
      <c r="J132" s="8" t="str">
        <f>"美术学"</f>
        <v>美术学</v>
      </c>
      <c r="K132" s="8" t="str">
        <f t="shared" si="53"/>
        <v>本科</v>
      </c>
      <c r="L132" s="8" t="str">
        <f t="shared" si="54"/>
        <v>学士</v>
      </c>
    </row>
    <row r="133" s="3" customFormat="1" ht="40" customHeight="1" spans="1:12">
      <c r="A133" s="8">
        <v>131</v>
      </c>
      <c r="B133" s="8" t="s">
        <v>106</v>
      </c>
      <c r="C133" s="8" t="s">
        <v>217</v>
      </c>
      <c r="D133" s="8" t="str">
        <f t="shared" si="49"/>
        <v>z2024336</v>
      </c>
      <c r="E133" s="8" t="str">
        <f>"曾维波"</f>
        <v>曾维波</v>
      </c>
      <c r="F133" s="8" t="str">
        <f>"男"</f>
        <v>男</v>
      </c>
      <c r="G133" s="8" t="str">
        <f>"1997-09-28"</f>
        <v>1997-09-28</v>
      </c>
      <c r="H133" s="8" t="str">
        <f t="shared" si="51"/>
        <v>社会在职</v>
      </c>
      <c r="I133" s="8" t="str">
        <f>"湖北民族大学"</f>
        <v>湖北民族大学</v>
      </c>
      <c r="J133" s="8" t="str">
        <f t="shared" si="52"/>
        <v>绘画</v>
      </c>
      <c r="K133" s="8" t="str">
        <f t="shared" si="53"/>
        <v>本科</v>
      </c>
      <c r="L133" s="8" t="str">
        <f t="shared" si="54"/>
        <v>学士</v>
      </c>
    </row>
    <row r="134" s="3" customFormat="1" ht="40" customHeight="1" spans="1:12">
      <c r="A134" s="8">
        <v>132</v>
      </c>
      <c r="B134" s="8" t="s">
        <v>106</v>
      </c>
      <c r="C134" s="8" t="s">
        <v>229</v>
      </c>
      <c r="D134" s="8" t="str">
        <f t="shared" ref="D134:D139" si="55">"z2024337"</f>
        <v>z2024337</v>
      </c>
      <c r="E134" s="8" t="str">
        <f>"黄国蓉"</f>
        <v>黄国蓉</v>
      </c>
      <c r="F134" s="8" t="str">
        <f>"女"</f>
        <v>女</v>
      </c>
      <c r="G134" s="8" t="str">
        <f>"1995-04-04"</f>
        <v>1995-04-04</v>
      </c>
      <c r="H134" s="8" t="str">
        <f t="shared" ref="H134:H141" si="56">"社会在职"</f>
        <v>社会在职</v>
      </c>
      <c r="I134" s="8" t="str">
        <f>"湖北理工学院"</f>
        <v>湖北理工学院</v>
      </c>
      <c r="J134" s="8" t="str">
        <f t="shared" ref="J134:J138" si="57">"市场营销"</f>
        <v>市场营销</v>
      </c>
      <c r="K134" s="8" t="str">
        <f t="shared" ref="K134:K140" si="58">"本科"</f>
        <v>本科</v>
      </c>
      <c r="L134" s="8" t="str">
        <f t="shared" ref="L134:L140" si="59">"学士"</f>
        <v>学士</v>
      </c>
    </row>
    <row r="135" s="3" customFormat="1" ht="40" customHeight="1" spans="1:12">
      <c r="A135" s="8">
        <v>133</v>
      </c>
      <c r="B135" s="8" t="s">
        <v>106</v>
      </c>
      <c r="C135" s="8" t="s">
        <v>229</v>
      </c>
      <c r="D135" s="8" t="str">
        <f t="shared" si="55"/>
        <v>z2024337</v>
      </c>
      <c r="E135" s="8" t="str">
        <f>"秦明莉"</f>
        <v>秦明莉</v>
      </c>
      <c r="F135" s="8" t="str">
        <f>"女"</f>
        <v>女</v>
      </c>
      <c r="G135" s="8" t="str">
        <f>"2000-06-17"</f>
        <v>2000-06-17</v>
      </c>
      <c r="H135" s="8" t="str">
        <f>"应届"</f>
        <v>应届</v>
      </c>
      <c r="I135" s="8" t="str">
        <f>"武昌工学院"</f>
        <v>武昌工学院</v>
      </c>
      <c r="J135" s="8" t="str">
        <f>"电子商务（新零售）"</f>
        <v>电子商务（新零售）</v>
      </c>
      <c r="K135" s="8" t="str">
        <f t="shared" si="58"/>
        <v>本科</v>
      </c>
      <c r="L135" s="8" t="str">
        <f t="shared" si="59"/>
        <v>学士</v>
      </c>
    </row>
    <row r="136" s="3" customFormat="1" ht="40" customHeight="1" spans="1:12">
      <c r="A136" s="8">
        <v>134</v>
      </c>
      <c r="B136" s="8" t="s">
        <v>106</v>
      </c>
      <c r="C136" s="8" t="s">
        <v>229</v>
      </c>
      <c r="D136" s="8" t="str">
        <f t="shared" si="55"/>
        <v>z2024337</v>
      </c>
      <c r="E136" s="8" t="str">
        <f>"李鸿升"</f>
        <v>李鸿升</v>
      </c>
      <c r="F136" s="8" t="str">
        <f t="shared" ref="F136:F139" si="60">"男"</f>
        <v>男</v>
      </c>
      <c r="G136" s="8" t="str">
        <f>"1997-02-17"</f>
        <v>1997-02-17</v>
      </c>
      <c r="H136" s="8" t="str">
        <f t="shared" si="56"/>
        <v>社会在职</v>
      </c>
      <c r="I136" s="8" t="str">
        <f>"湖北汽车工业学院"</f>
        <v>湖北汽车工业学院</v>
      </c>
      <c r="J136" s="8" t="str">
        <f>"国际经济与贸易"</f>
        <v>国际经济与贸易</v>
      </c>
      <c r="K136" s="8" t="str">
        <f t="shared" si="58"/>
        <v>本科</v>
      </c>
      <c r="L136" s="8" t="str">
        <f t="shared" si="59"/>
        <v>学士</v>
      </c>
    </row>
    <row r="137" s="3" customFormat="1" ht="40" customHeight="1" spans="1:12">
      <c r="A137" s="8">
        <v>135</v>
      </c>
      <c r="B137" s="8" t="s">
        <v>106</v>
      </c>
      <c r="C137" s="8" t="s">
        <v>229</v>
      </c>
      <c r="D137" s="8" t="str">
        <f t="shared" si="55"/>
        <v>z2024337</v>
      </c>
      <c r="E137" s="8" t="str">
        <f>"张浩然"</f>
        <v>张浩然</v>
      </c>
      <c r="F137" s="8" t="str">
        <f t="shared" si="60"/>
        <v>男</v>
      </c>
      <c r="G137" s="8" t="str">
        <f>"2000-03-13"</f>
        <v>2000-03-13</v>
      </c>
      <c r="H137" s="8" t="str">
        <f>"应届"</f>
        <v>应届</v>
      </c>
      <c r="I137" s="8" t="str">
        <f>"湖北中医药大学"</f>
        <v>湖北中医药大学</v>
      </c>
      <c r="J137" s="8" t="str">
        <f t="shared" si="57"/>
        <v>市场营销</v>
      </c>
      <c r="K137" s="8" t="str">
        <f t="shared" si="58"/>
        <v>本科</v>
      </c>
      <c r="L137" s="8" t="str">
        <f t="shared" si="59"/>
        <v>学士</v>
      </c>
    </row>
    <row r="138" s="3" customFormat="1" ht="40" customHeight="1" spans="1:12">
      <c r="A138" s="8">
        <v>136</v>
      </c>
      <c r="B138" s="8" t="s">
        <v>106</v>
      </c>
      <c r="C138" s="8" t="s">
        <v>229</v>
      </c>
      <c r="D138" s="8" t="str">
        <f t="shared" si="55"/>
        <v>z2024337</v>
      </c>
      <c r="E138" s="8" t="str">
        <f>"胡濛"</f>
        <v>胡濛</v>
      </c>
      <c r="F138" s="8" t="str">
        <f>"女"</f>
        <v>女</v>
      </c>
      <c r="G138" s="8" t="str">
        <f>"1990-05-25"</f>
        <v>1990-05-25</v>
      </c>
      <c r="H138" s="8" t="str">
        <f t="shared" si="56"/>
        <v>社会在职</v>
      </c>
      <c r="I138" s="8" t="str">
        <f>"湖北工业大学"</f>
        <v>湖北工业大学</v>
      </c>
      <c r="J138" s="8" t="str">
        <f t="shared" si="57"/>
        <v>市场营销</v>
      </c>
      <c r="K138" s="8" t="str">
        <f t="shared" si="58"/>
        <v>本科</v>
      </c>
      <c r="L138" s="8" t="str">
        <f t="shared" si="59"/>
        <v>学士</v>
      </c>
    </row>
    <row r="139" s="3" customFormat="1" ht="40" customHeight="1" spans="1:12">
      <c r="A139" s="8">
        <v>137</v>
      </c>
      <c r="B139" s="8" t="s">
        <v>106</v>
      </c>
      <c r="C139" s="8" t="s">
        <v>229</v>
      </c>
      <c r="D139" s="8" t="str">
        <f t="shared" si="55"/>
        <v>z2024337</v>
      </c>
      <c r="E139" s="8" t="str">
        <f>"宋明杨"</f>
        <v>宋明杨</v>
      </c>
      <c r="F139" s="8" t="str">
        <f t="shared" si="60"/>
        <v>男</v>
      </c>
      <c r="G139" s="8" t="str">
        <f>"1995-10-16"</f>
        <v>1995-10-16</v>
      </c>
      <c r="H139" s="8" t="str">
        <f t="shared" si="56"/>
        <v>社会在职</v>
      </c>
      <c r="I139" s="8" t="str">
        <f>"湖北工业大学"</f>
        <v>湖北工业大学</v>
      </c>
      <c r="J139" s="8" t="str">
        <f>"电子商务"</f>
        <v>电子商务</v>
      </c>
      <c r="K139" s="8" t="str">
        <f t="shared" si="58"/>
        <v>本科</v>
      </c>
      <c r="L139" s="8" t="str">
        <f t="shared" si="59"/>
        <v>学士</v>
      </c>
    </row>
  </sheetData>
  <autoFilter ref="A1:L139">
    <extLst/>
  </autoFilter>
  <mergeCells count="1">
    <mergeCell ref="A1:L1"/>
  </mergeCells>
  <pageMargins left="0.751388888888889" right="0.751388888888889" top="1" bottom="1" header="0.5" footer="0.5"/>
  <pageSetup paperSize="8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2024-05-10T02:38:00Z</dcterms:created>
  <dcterms:modified xsi:type="dcterms:W3CDTF">2024-05-13T11:31:42Z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DA10FBE68227436DBA63A65579C56D37_13</vt:lpwstr>
  </property>
  <property fmtid="{D5CDD505-2E9C-101B-9397-08002B2CF9AE}" pid="3" name="KSOProductBuildVer">
    <vt:lpwstr>2052-12.1.0.16729</vt:lpwstr>
  </property>
</Properties>
</file>